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charts/chart3.xml" ContentType="application/vnd.openxmlformats-officedocument.drawingml.chart+xml"/>
  <Override PartName="/xl/drawings/drawing9.xml" ContentType="application/vnd.openxmlformats-officedocument.drawingml.chartshapes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Elliot\Documents\AAActive - June 22 2015\HIV-AIDS\CE Teaching and PP slides\DCEA 2019\"/>
    </mc:Choice>
  </mc:AlternateContent>
  <xr:revisionPtr revIDLastSave="0" documentId="8_{E742AE32-AD7D-4BC6-9DB5-0D16ABCC336C}" xr6:coauthVersionLast="40" xr6:coauthVersionMax="40" xr10:uidLastSave="{00000000-0000-0000-0000-000000000000}"/>
  <bookViews>
    <workbookView xWindow="0" yWindow="0" windowWidth="28800" windowHeight="12165" tabRatio="780" firstSheet="1" activeTab="1"/>
  </bookViews>
  <sheets>
    <sheet name="DA- Tree" sheetId="6" r:id="rId1"/>
    <sheet name="DA- Tree (40-49)" sheetId="8" r:id="rId2"/>
    <sheet name="DA- Tree (50-59)" sheetId="11" r:id="rId3"/>
    <sheet name="DA- Tree (60-69)" sheetId="12" r:id="rId4"/>
    <sheet name="Analysis" sheetId="58689" r:id="rId5"/>
    <sheet name="SA 2way" sheetId="2" r:id="rId6"/>
    <sheet name="SA 1way" sheetId="1" r:id="rId7"/>
    <sheet name="QALYs by outcome &amp; age" sheetId="58688" r:id="rId8"/>
  </sheets>
  <definedNames>
    <definedName name="_Scenario_new_change" localSheetId="0" hidden="1">'DA- Tree'!#REF!</definedName>
    <definedName name="_Scenario_new_change" localSheetId="1" hidden="1">'DA- Tree (40-49)'!#REF!</definedName>
    <definedName name="_Scenario_new_change" localSheetId="2" hidden="1">'DA- Tree (50-59)'!#REF!</definedName>
    <definedName name="_Scenario_new_change" localSheetId="3" hidden="1">'DA- Tree (60-69)'!#REF!</definedName>
    <definedName name="_Scenario_new_change" localSheetId="6" hidden="1">'SA 1way'!#REF!</definedName>
    <definedName name="_scenchg_count" localSheetId="0" hidden="1">12</definedName>
    <definedName name="_scenchg_count" localSheetId="1" hidden="1">12</definedName>
    <definedName name="_scenchg_count" localSheetId="2" hidden="1">12</definedName>
    <definedName name="_scenchg_count" localSheetId="3" hidden="1">12</definedName>
    <definedName name="_scenchg_count" localSheetId="6" hidden="1">12</definedName>
    <definedName name="_scenchg1" localSheetId="0" hidden="1">'DA- Tree'!#REF!</definedName>
    <definedName name="_scenchg1" localSheetId="1" hidden="1">'DA- Tree (40-49)'!#REF!</definedName>
    <definedName name="_scenchg1" localSheetId="2" hidden="1">'DA- Tree (50-59)'!#REF!</definedName>
    <definedName name="_scenchg1" localSheetId="3" hidden="1">'DA- Tree (60-69)'!#REF!</definedName>
    <definedName name="_scenchg1" localSheetId="6" hidden="1">'SA 1way'!#REF!</definedName>
    <definedName name="_scenchg10" localSheetId="0" hidden="1">'DA- Tree'!#REF!</definedName>
    <definedName name="_scenchg10" localSheetId="1" hidden="1">'DA- Tree (40-49)'!#REF!</definedName>
    <definedName name="_scenchg10" localSheetId="2" hidden="1">'DA- Tree (50-59)'!#REF!</definedName>
    <definedName name="_scenchg10" localSheetId="3" hidden="1">'DA- Tree (60-69)'!#REF!</definedName>
    <definedName name="_scenchg10" localSheetId="6" hidden="1">'SA 1way'!#REF!</definedName>
    <definedName name="_scenchg11" localSheetId="0" hidden="1">'DA- Tree'!#REF!</definedName>
    <definedName name="_scenchg11" localSheetId="1" hidden="1">'DA- Tree (40-49)'!#REF!</definedName>
    <definedName name="_scenchg11" localSheetId="2" hidden="1">'DA- Tree (50-59)'!#REF!</definedName>
    <definedName name="_scenchg11" localSheetId="3" hidden="1">'DA- Tree (60-69)'!#REF!</definedName>
    <definedName name="_scenchg11" localSheetId="6" hidden="1">'SA 1way'!#REF!</definedName>
    <definedName name="_scenchg12" localSheetId="0" hidden="1">'DA- Tree'!#REF!</definedName>
    <definedName name="_scenchg12" localSheetId="1" hidden="1">'DA- Tree (40-49)'!#REF!</definedName>
    <definedName name="_scenchg12" localSheetId="2" hidden="1">'DA- Tree (50-59)'!#REF!</definedName>
    <definedName name="_scenchg12" localSheetId="3" hidden="1">'DA- Tree (60-69)'!#REF!</definedName>
    <definedName name="_scenchg12" localSheetId="6" hidden="1">'SA 1way'!#REF!</definedName>
    <definedName name="_scenchg2" localSheetId="0" hidden="1">'DA- Tree'!#REF!</definedName>
    <definedName name="_scenchg2" localSheetId="1" hidden="1">'DA- Tree (40-49)'!#REF!</definedName>
    <definedName name="_scenchg2" localSheetId="2" hidden="1">'DA- Tree (50-59)'!#REF!</definedName>
    <definedName name="_scenchg2" localSheetId="3" hidden="1">'DA- Tree (60-69)'!#REF!</definedName>
    <definedName name="_scenchg2" localSheetId="6" hidden="1">'SA 1way'!#REF!</definedName>
    <definedName name="_scenchg3" localSheetId="0" hidden="1">'DA- Tree'!#REF!</definedName>
    <definedName name="_scenchg3" localSheetId="1" hidden="1">'DA- Tree (40-49)'!#REF!</definedName>
    <definedName name="_scenchg3" localSheetId="2" hidden="1">'DA- Tree (50-59)'!#REF!</definedName>
    <definedName name="_scenchg3" localSheetId="3" hidden="1">'DA- Tree (60-69)'!#REF!</definedName>
    <definedName name="_scenchg3" localSheetId="6" hidden="1">'SA 1way'!#REF!</definedName>
    <definedName name="_scenchg4" localSheetId="0" hidden="1">'DA- Tree'!#REF!</definedName>
    <definedName name="_scenchg4" localSheetId="1" hidden="1">'DA- Tree (40-49)'!#REF!</definedName>
    <definedName name="_scenchg4" localSheetId="2" hidden="1">'DA- Tree (50-59)'!#REF!</definedName>
    <definedName name="_scenchg4" localSheetId="3" hidden="1">'DA- Tree (60-69)'!#REF!</definedName>
    <definedName name="_scenchg4" localSheetId="6" hidden="1">'SA 1way'!#REF!</definedName>
    <definedName name="_scenchg5" localSheetId="0" hidden="1">'DA- Tree'!#REF!</definedName>
    <definedName name="_scenchg5" localSheetId="1" hidden="1">'DA- Tree (40-49)'!#REF!</definedName>
    <definedName name="_scenchg5" localSheetId="2" hidden="1">'DA- Tree (50-59)'!#REF!</definedName>
    <definedName name="_scenchg5" localSheetId="3" hidden="1">'DA- Tree (60-69)'!#REF!</definedName>
    <definedName name="_scenchg5" localSheetId="6" hidden="1">'SA 1way'!#REF!</definedName>
    <definedName name="_scenchg6" localSheetId="0" hidden="1">'DA- Tree'!#REF!</definedName>
    <definedName name="_scenchg6" localSheetId="1" hidden="1">'DA- Tree (40-49)'!#REF!</definedName>
    <definedName name="_scenchg6" localSheetId="2" hidden="1">'DA- Tree (50-59)'!#REF!</definedName>
    <definedName name="_scenchg6" localSheetId="3" hidden="1">'DA- Tree (60-69)'!#REF!</definedName>
    <definedName name="_scenchg6" localSheetId="6" hidden="1">'SA 1way'!#REF!</definedName>
    <definedName name="_scenchg7" localSheetId="0" hidden="1">'DA- Tree'!#REF!</definedName>
    <definedName name="_scenchg7" localSheetId="1" hidden="1">'DA- Tree (40-49)'!#REF!</definedName>
    <definedName name="_scenchg7" localSheetId="2" hidden="1">'DA- Tree (50-59)'!#REF!</definedName>
    <definedName name="_scenchg7" localSheetId="3" hidden="1">'DA- Tree (60-69)'!#REF!</definedName>
    <definedName name="_scenchg7" localSheetId="6" hidden="1">'SA 1way'!#REF!</definedName>
    <definedName name="_scenchg8" localSheetId="0" hidden="1">'DA- Tree'!#REF!</definedName>
    <definedName name="_scenchg8" localSheetId="1" hidden="1">'DA- Tree (40-49)'!#REF!</definedName>
    <definedName name="_scenchg8" localSheetId="2" hidden="1">'DA- Tree (50-59)'!#REF!</definedName>
    <definedName name="_scenchg8" localSheetId="3" hidden="1">'DA- Tree (60-69)'!#REF!</definedName>
    <definedName name="_scenchg8" localSheetId="6" hidden="1">'SA 1way'!#REF!</definedName>
    <definedName name="_scenchg9" localSheetId="0" hidden="1">'DA- Tree'!#REF!</definedName>
    <definedName name="_scenchg9" localSheetId="1" hidden="1">'DA- Tree (40-49)'!#REF!</definedName>
    <definedName name="_scenchg9" localSheetId="2" hidden="1">'DA- Tree (50-59)'!#REF!</definedName>
    <definedName name="_scenchg9" localSheetId="3" hidden="1">'DA- Tree (60-69)'!#REF!</definedName>
    <definedName name="_scenchg9" localSheetId="6" hidden="1">'SA 1way'!#REF!</definedName>
    <definedName name="_xlnm.Print_Area" localSheetId="0">'DA- Tree'!$A$1:$H$41</definedName>
    <definedName name="_xlnm.Print_Area" localSheetId="1">'DA- Tree (40-49)'!$A$1:$H$41</definedName>
    <definedName name="_xlnm.Print_Area" localSheetId="2">'DA- Tree (50-59)'!$A$1:$H$41</definedName>
    <definedName name="_xlnm.Print_Area" localSheetId="3">'DA- Tree (60-69)'!$A$1:$H$41</definedName>
    <definedName name="_xlnm.Print_Area" localSheetId="6">'SA 1way'!#REF!</definedName>
    <definedName name="scen_change" localSheetId="0" hidden="1">'DA- Tree'!#REF!</definedName>
    <definedName name="scen_change" localSheetId="1" hidden="1">'DA- Tree (40-49)'!#REF!</definedName>
    <definedName name="scen_change" localSheetId="2" hidden="1">'DA- Tree (50-59)'!#REF!</definedName>
    <definedName name="scen_change" localSheetId="3" hidden="1">'DA- Tree (60-69)'!#REF!</definedName>
    <definedName name="scen_change" localSheetId="6" hidden="1">'SA 1way'!#REF!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6" l="1"/>
  <c r="D10" i="6"/>
  <c r="F10" i="6" s="1"/>
  <c r="G12" i="6"/>
  <c r="C15" i="6"/>
  <c r="F15" i="6" s="1"/>
  <c r="D24" i="6"/>
  <c r="F24" i="6" s="1"/>
  <c r="C27" i="6"/>
  <c r="C36" i="6"/>
  <c r="F36" i="6"/>
  <c r="F4" i="8"/>
  <c r="J4" i="8"/>
  <c r="K4" i="8"/>
  <c r="L5" i="8"/>
  <c r="L6" i="8"/>
  <c r="L7" i="8"/>
  <c r="D10" i="8"/>
  <c r="F10" i="8" s="1"/>
  <c r="J11" i="8"/>
  <c r="L11" i="8" s="1"/>
  <c r="J12" i="8"/>
  <c r="L12" i="8" s="1"/>
  <c r="K12" i="8"/>
  <c r="K10" i="8"/>
  <c r="G12" i="8"/>
  <c r="L13" i="8"/>
  <c r="C15" i="8"/>
  <c r="F15" i="8"/>
  <c r="L15" i="8"/>
  <c r="D24" i="8"/>
  <c r="C27" i="8"/>
  <c r="C36" i="8" s="1"/>
  <c r="F36" i="8" s="1"/>
  <c r="F40" i="8" s="1"/>
  <c r="F24" i="8"/>
  <c r="C6" i="58688"/>
  <c r="C7" i="58688" s="1"/>
  <c r="H24" i="8" s="1"/>
  <c r="C55" i="58688"/>
  <c r="C54" i="58688"/>
  <c r="C56" i="58688"/>
  <c r="C57" i="58688"/>
  <c r="J38" i="8"/>
  <c r="L38" i="8" s="1"/>
  <c r="J26" i="8"/>
  <c r="J32" i="8" s="1"/>
  <c r="J27" i="8"/>
  <c r="J28" i="8"/>
  <c r="K38" i="8"/>
  <c r="K26" i="8" s="1"/>
  <c r="K27" i="8"/>
  <c r="L27" i="8" s="1"/>
  <c r="K28" i="8"/>
  <c r="L28" i="8" s="1"/>
  <c r="L25" i="8"/>
  <c r="D30" i="8"/>
  <c r="F30" i="8"/>
  <c r="D6" i="58688"/>
  <c r="D55" i="58688"/>
  <c r="D52" i="58688"/>
  <c r="D54" i="58688"/>
  <c r="D56" i="58688"/>
  <c r="D57" i="58688" s="1"/>
  <c r="J37" i="8"/>
  <c r="J31" i="8" s="1"/>
  <c r="J33" i="8"/>
  <c r="J34" i="8"/>
  <c r="K37" i="8"/>
  <c r="K36" i="8" s="1"/>
  <c r="K31" i="8"/>
  <c r="K33" i="8"/>
  <c r="K34" i="8"/>
  <c r="L33" i="8"/>
  <c r="L34" i="8"/>
  <c r="E6" i="58688"/>
  <c r="E55" i="58688"/>
  <c r="E52" i="58688"/>
  <c r="E54" i="58688"/>
  <c r="E56" i="58688"/>
  <c r="E57" i="58688" s="1"/>
  <c r="F4" i="11"/>
  <c r="H17" i="11" s="1"/>
  <c r="J4" i="11"/>
  <c r="K4" i="11"/>
  <c r="L4" i="11"/>
  <c r="L5" i="11"/>
  <c r="L6" i="11"/>
  <c r="L7" i="11"/>
  <c r="D10" i="11"/>
  <c r="F10" i="11"/>
  <c r="J11" i="11"/>
  <c r="L11" i="11" s="1"/>
  <c r="J12" i="11"/>
  <c r="L12" i="11" s="1"/>
  <c r="J10" i="11"/>
  <c r="K12" i="11"/>
  <c r="K10" i="11" s="1"/>
  <c r="G12" i="11"/>
  <c r="L13" i="11"/>
  <c r="C15" i="11"/>
  <c r="F15" i="11"/>
  <c r="L15" i="11"/>
  <c r="D24" i="11"/>
  <c r="F24" i="11" s="1"/>
  <c r="C27" i="11"/>
  <c r="C36" i="11" s="1"/>
  <c r="F36" i="11" s="1"/>
  <c r="J38" i="11"/>
  <c r="L38" i="11" s="1"/>
  <c r="J26" i="11"/>
  <c r="J27" i="11"/>
  <c r="J28" i="11"/>
  <c r="J24" i="11"/>
  <c r="K38" i="11"/>
  <c r="K26" i="11"/>
  <c r="K24" i="11" s="1"/>
  <c r="K27" i="11"/>
  <c r="K28" i="11"/>
  <c r="L25" i="11"/>
  <c r="L27" i="11"/>
  <c r="L28" i="11"/>
  <c r="J37" i="11"/>
  <c r="J31" i="11"/>
  <c r="J32" i="11"/>
  <c r="J33" i="11"/>
  <c r="L33" i="11" s="1"/>
  <c r="J34" i="11"/>
  <c r="L34" i="11" s="1"/>
  <c r="J30" i="11"/>
  <c r="K37" i="11"/>
  <c r="K31" i="11"/>
  <c r="K33" i="11"/>
  <c r="K34" i="11"/>
  <c r="L31" i="11"/>
  <c r="J36" i="11"/>
  <c r="K36" i="11"/>
  <c r="L37" i="11"/>
  <c r="F4" i="12"/>
  <c r="J4" i="12"/>
  <c r="L4" i="12" s="1"/>
  <c r="K4" i="12"/>
  <c r="L5" i="12"/>
  <c r="L6" i="12"/>
  <c r="L7" i="12"/>
  <c r="D10" i="12"/>
  <c r="F10" i="12"/>
  <c r="J11" i="12"/>
  <c r="L11" i="12" s="1"/>
  <c r="J12" i="12"/>
  <c r="K12" i="12"/>
  <c r="K10" i="12"/>
  <c r="G12" i="12"/>
  <c r="L12" i="12"/>
  <c r="L13" i="12"/>
  <c r="C15" i="12"/>
  <c r="F15" i="12"/>
  <c r="L15" i="12"/>
  <c r="K17" i="12"/>
  <c r="D24" i="12"/>
  <c r="C27" i="12"/>
  <c r="F24" i="12"/>
  <c r="J38" i="12"/>
  <c r="J26" i="12"/>
  <c r="J24" i="12" s="1"/>
  <c r="J27" i="12"/>
  <c r="L27" i="12" s="1"/>
  <c r="J28" i="12"/>
  <c r="L28" i="12" s="1"/>
  <c r="K38" i="12"/>
  <c r="K26" i="12"/>
  <c r="K27" i="12"/>
  <c r="K28" i="12"/>
  <c r="K24" i="12"/>
  <c r="L25" i="12"/>
  <c r="L26" i="12"/>
  <c r="D30" i="12"/>
  <c r="F30" i="12" s="1"/>
  <c r="J37" i="12"/>
  <c r="J36" i="12" s="1"/>
  <c r="J31" i="12"/>
  <c r="J32" i="12"/>
  <c r="L32" i="12" s="1"/>
  <c r="J33" i="12"/>
  <c r="J34" i="12"/>
  <c r="K37" i="12"/>
  <c r="K36" i="12" s="1"/>
  <c r="K32" i="12"/>
  <c r="K33" i="12"/>
  <c r="L33" i="12" s="1"/>
  <c r="K34" i="12"/>
  <c r="L34" i="12" s="1"/>
  <c r="C36" i="12"/>
  <c r="F36" i="12"/>
  <c r="L38" i="12"/>
  <c r="F5" i="1"/>
  <c r="F6" i="58688"/>
  <c r="G6" i="58688"/>
  <c r="H6" i="58688"/>
  <c r="I6" i="58688"/>
  <c r="I7" i="58688" s="1"/>
  <c r="F55" i="58688"/>
  <c r="F52" i="58688"/>
  <c r="F54" i="58688" s="1"/>
  <c r="G55" i="58688"/>
  <c r="G52" i="58688"/>
  <c r="G54" i="58688"/>
  <c r="G56" i="58688"/>
  <c r="G57" i="58688" s="1"/>
  <c r="H55" i="58688"/>
  <c r="H52" i="58688"/>
  <c r="H54" i="58688" s="1"/>
  <c r="H56" i="58688" s="1"/>
  <c r="H57" i="58688" s="1"/>
  <c r="H7" i="58688" s="1"/>
  <c r="I55" i="58688"/>
  <c r="I52" i="58688"/>
  <c r="I54" i="58688"/>
  <c r="I56" i="58688"/>
  <c r="I57" i="58688" s="1"/>
  <c r="F56" i="58688" l="1"/>
  <c r="F57" i="58688" s="1"/>
  <c r="F7" i="58688" s="1"/>
  <c r="K24" i="8"/>
  <c r="K32" i="8"/>
  <c r="L32" i="8" s="1"/>
  <c r="L31" i="8"/>
  <c r="J30" i="8"/>
  <c r="F17" i="8"/>
  <c r="H17" i="8"/>
  <c r="H40" i="12"/>
  <c r="H42" i="12" s="1"/>
  <c r="F40" i="12"/>
  <c r="L24" i="12"/>
  <c r="L36" i="11"/>
  <c r="D7" i="58688"/>
  <c r="H30" i="8" s="1"/>
  <c r="H40" i="8" s="1"/>
  <c r="H42" i="8" s="1"/>
  <c r="K17" i="8"/>
  <c r="G7" i="58688"/>
  <c r="J17" i="8"/>
  <c r="F17" i="6"/>
  <c r="H17" i="6"/>
  <c r="K40" i="12"/>
  <c r="K42" i="12" s="1"/>
  <c r="K44" i="12" s="1"/>
  <c r="L10" i="11"/>
  <c r="L17" i="11"/>
  <c r="E7" i="58688"/>
  <c r="H36" i="8" s="1"/>
  <c r="K31" i="12"/>
  <c r="K30" i="12" s="1"/>
  <c r="F17" i="12"/>
  <c r="L26" i="11"/>
  <c r="L24" i="11" s="1"/>
  <c r="K17" i="11"/>
  <c r="L37" i="8"/>
  <c r="L36" i="8" s="1"/>
  <c r="J10" i="8"/>
  <c r="L10" i="8" s="1"/>
  <c r="L4" i="8"/>
  <c r="L17" i="8" s="1"/>
  <c r="H17" i="12"/>
  <c r="J24" i="8"/>
  <c r="J40" i="8" s="1"/>
  <c r="J42" i="8" s="1"/>
  <c r="J44" i="8" s="1"/>
  <c r="D30" i="6"/>
  <c r="F30" i="6" s="1"/>
  <c r="H38" i="6" s="1"/>
  <c r="H40" i="6" s="1"/>
  <c r="J10" i="12"/>
  <c r="L10" i="12" s="1"/>
  <c r="L17" i="12" s="1"/>
  <c r="F17" i="11"/>
  <c r="L26" i="8"/>
  <c r="L24" i="8" s="1"/>
  <c r="J17" i="11"/>
  <c r="L37" i="12"/>
  <c r="L36" i="12" s="1"/>
  <c r="J30" i="12"/>
  <c r="J40" i="12" s="1"/>
  <c r="K32" i="11"/>
  <c r="J36" i="8"/>
  <c r="D30" i="11"/>
  <c r="F30" i="11" s="1"/>
  <c r="F40" i="11" s="1"/>
  <c r="L31" i="12" l="1"/>
  <c r="L30" i="12" s="1"/>
  <c r="L40" i="12" s="1"/>
  <c r="L42" i="12" s="1"/>
  <c r="L44" i="12" s="1"/>
  <c r="K30" i="8"/>
  <c r="K40" i="8" s="1"/>
  <c r="K42" i="8" s="1"/>
  <c r="K44" i="8" s="1"/>
  <c r="L30" i="8"/>
  <c r="L40" i="8" s="1"/>
  <c r="L42" i="8" s="1"/>
  <c r="L44" i="8" s="1"/>
  <c r="L32" i="11"/>
  <c r="L30" i="11" s="1"/>
  <c r="L40" i="11" s="1"/>
  <c r="L42" i="11" s="1"/>
  <c r="L44" i="11" s="1"/>
  <c r="K30" i="11"/>
  <c r="K40" i="11" s="1"/>
  <c r="K42" i="11" s="1"/>
  <c r="K44" i="11" s="1"/>
  <c r="F38" i="6"/>
  <c r="H40" i="11"/>
  <c r="H42" i="11" s="1"/>
  <c r="J17" i="12"/>
  <c r="J42" i="12" s="1"/>
  <c r="J44" i="12" s="1"/>
  <c r="J40" i="11"/>
  <c r="J42" i="11" s="1"/>
  <c r="J44" i="1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F1" authorId="0" shapeId="0">
      <text>
        <r>
          <rPr>
            <sz val="8"/>
            <color indexed="81"/>
            <rFont val="Tahoma"/>
            <family val="2"/>
          </rPr>
          <t>Path probability is the likelihood that a woman in this screening strategy reaches this endpoint. It is the product of the relevant branch probabilities. Total for each strategy must = 1.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5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cell verifies that the path probabilities for "No mammog" sum to 1.0, as they must.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This cell is the weighted mean QALYs for the "No mammog." strategy, calculated as the sum of [path probability * QALYs] for each terminal node.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Women 40-49, 50-59 or 60-69 can be modeled by changing the values in the purple cells with green borders, using the values provided in the homework assignment and in the QALY spreadsheet.</t>
        </r>
      </text>
    </comment>
    <comment ref="H2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C26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C27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H3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36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40" authorId="0" shapeId="0">
      <text>
        <r>
          <rPr>
            <sz val="8"/>
            <color indexed="81"/>
            <rFont val="Tahoma"/>
            <family val="2"/>
          </rPr>
          <t>This is the difference in QALYs between the "No mammog." and the "Mammog." strategies.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  <author>James G. Kahn</author>
  </authors>
  <commentList>
    <comment ref="F1" authorId="0" shapeId="0">
      <text>
        <r>
          <rPr>
            <sz val="8"/>
            <color indexed="81"/>
            <rFont val="Tahoma"/>
            <family val="2"/>
          </rPr>
          <t>Path probability is the likelihood that a woman in this screening strategy reaches this endpoint. It is the product of the relevant branch probabilities. Total for each strategy must = 1.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This is the total of the cells immediately below.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5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cell verifies that the path probabilities for "No mammog" sum to 1.0, as they must.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This cell is the weighted mean QALYs for the "No mammog." strategy, calculated as the sum of [path probability * QALYs] for each terminal node.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Women 40-49, 50-59 or 60-69 can be modeled by changing the values in the purple cells with green borders, using the values provided in the homework assignment and in the QALY spreadsheet.</t>
        </r>
      </text>
    </comment>
    <comment ref="H2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C26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I26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1 asp/biopsy for cancer
plus 0.025 due to false(+) for screening mammograms (2.5 mammogams done prior to cancer diagnosis x 1% risk of false (+) leading to asp/bx)</t>
        </r>
      </text>
    </comment>
    <comment ref="C27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H3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36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I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Every other year = 5 times in 10 years.</t>
        </r>
      </text>
    </comment>
    <comment ref="J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I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0.05 asp/bx due to false(+) for screening mammograms:
5 mammogams per 10 years
   x 1% risk of false (+) leading to asp/bx</t>
        </r>
      </text>
    </comment>
    <comment ref="J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H42" authorId="0" shapeId="0">
      <text>
        <r>
          <rPr>
            <sz val="8"/>
            <color indexed="81"/>
            <rFont val="Tahoma"/>
            <family val="2"/>
          </rPr>
          <t>This is the difference in QALYs between the "No mammog." and the "Mammog." strategies.</t>
        </r>
      </text>
    </comment>
    <comment ref="J44" authorId="0" shapeId="0">
      <text>
        <r>
          <rPr>
            <sz val="8"/>
            <color indexed="81"/>
            <rFont val="Tahoma"/>
            <family val="2"/>
          </rPr>
          <t>This is simply the difference in direct cost divided by the difference in QALYs.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  <author>James G. Kahn</author>
  </authors>
  <commentList>
    <comment ref="F1" authorId="0" shapeId="0">
      <text>
        <r>
          <rPr>
            <sz val="8"/>
            <color indexed="81"/>
            <rFont val="Tahoma"/>
            <family val="2"/>
          </rPr>
          <t>Path probability is the likelihood that a woman in this screening strategy reaches this endpoint. It is the product of the relevant branch probabilities. Total for each strategy must = 1.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This is the total of the cells immediately below.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5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cell verifies that the path probabilities for "No mammog" sum to 1.0, as they must.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This cell is the weighted mean QALYs for the "No mammog." strategy, calculated as the sum of [path probability * QALYs] for each terminal node.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Women 40-49, 50-59 or 60-69 can be modeled by changing the values in the purple cells with green borders, using the values provided in the homework assignment and in the QALY spreadsheet.</t>
        </r>
      </text>
    </comment>
    <comment ref="H2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C26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I26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1 asp/biopsy for cancer
plus 0.025 due to false(+) for screening mammograms (2.5 mammogams done prior to cancer diagnosis x 1% risk of false (+) leading to asp/bx)</t>
        </r>
      </text>
    </comment>
    <comment ref="C27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H3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36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I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Every other year = 5 times in 10 years.</t>
        </r>
      </text>
    </comment>
    <comment ref="J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I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0.05 asp/bx due to false(+) for screening mammograms:
5 mammogams per 10 years
   x 1% risk of false (+) leading to asp/bx</t>
        </r>
      </text>
    </comment>
    <comment ref="J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H42" authorId="0" shapeId="0">
      <text>
        <r>
          <rPr>
            <sz val="8"/>
            <color indexed="81"/>
            <rFont val="Tahoma"/>
            <family val="2"/>
          </rPr>
          <t>This is the difference in QALYs between the "No mammog." and the "Mammog." strategies.</t>
        </r>
      </text>
    </comment>
    <comment ref="J44" authorId="0" shapeId="0">
      <text>
        <r>
          <rPr>
            <sz val="8"/>
            <color indexed="81"/>
            <rFont val="Tahoma"/>
            <family val="2"/>
          </rPr>
          <t>This is simply the difference in direct cost divided by the difference in QALYs.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  <author>James G. Kahn</author>
  </authors>
  <commentList>
    <comment ref="F1" authorId="0" shapeId="0">
      <text>
        <r>
          <rPr>
            <sz val="8"/>
            <color indexed="81"/>
            <rFont val="Tahoma"/>
            <family val="2"/>
          </rPr>
          <t>Path probability is the likelihood that a woman in this screening strategy reaches this endpoint. It is the product of the relevant branch probabilities. Total for each strategy must = 1.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This is the total of the cells immediately below.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5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cell verifies that the path probabilities for "No mammog" sum to 1.0, as they must.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This cell is the weighted mean QALYs for the "No mammog." strategy, calculated as the sum of [path probability * QALYs] for each terminal node.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Women 40-49, 50-59 or 60-69 can be modeled by changing the values in the purple cells with green borders, using the values provided in the homework assignment and in the QALY spreadsheet.</t>
        </r>
      </text>
    </comment>
    <comment ref="H2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C26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I26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1 asp/biopsy for cancer
plus 0.025 due to false(+) for screening mammograms (2.5 mammogams done prior to cancer diagnosis x 1% risk of false (+) leading to asp/bx)</t>
        </r>
      </text>
    </comment>
    <comment ref="C27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H3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36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I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Every other year = 5 times in 10 years.</t>
        </r>
      </text>
    </comment>
    <comment ref="J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7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I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0.05 asp/bx due to false(+) for screening mammograms:
5 mammogams per 10 years
   x 1% risk of false (+) leading to asp/bx</t>
        </r>
      </text>
    </comment>
    <comment ref="J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K38" authorId="1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Make sure the $ value used reflects the frequency that this event occurs in 10 years. See "n= " and Comment in column J.</t>
        </r>
      </text>
    </comment>
    <comment ref="H42" authorId="0" shapeId="0">
      <text>
        <r>
          <rPr>
            <sz val="8"/>
            <color indexed="81"/>
            <rFont val="Tahoma"/>
            <family val="2"/>
          </rPr>
          <t>This is the difference in QALYs between the "No mammog." and the "Mammog." strategies.</t>
        </r>
      </text>
    </comment>
    <comment ref="J44" authorId="0" shapeId="0">
      <text>
        <r>
          <rPr>
            <sz val="8"/>
            <color indexed="81"/>
            <rFont val="Tahoma"/>
            <family val="2"/>
          </rPr>
          <t>This is simply the difference in direct cost divided by the difference in QALYs.</t>
        </r>
      </text>
    </comment>
  </commentList>
</comments>
</file>

<file path=xl/comments5.xml><?xml version="1.0" encoding="utf-8"?>
<comments xmlns="http://schemas.openxmlformats.org/spreadsheetml/2006/main">
  <authors>
    <author>James G. Kahn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These are the false(+) requiring biopsy/aspiration, per screening mammogr.</t>
        </r>
      </text>
    </comment>
  </commentList>
</comments>
</file>

<file path=xl/comments6.xml><?xml version="1.0" encoding="utf-8"?>
<comments xmlns="http://schemas.openxmlformats.org/spreadsheetml/2006/main">
  <authors>
    <author>James G. Kahn</author>
  </authors>
  <commentList>
    <comment ref="B3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discount rate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 utility for each year results in that portion of a QALY, e.g., 0.95 utility for 1 year translates to 0.95 QALY. This row calculates the net present value of the QALYs below.
Copy and paste (actually -- paste special ... values) the values in this and the next row into the tree in the "DA- Tree" sheet.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Net present value formula, with half-year correction (see lecture notes).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 disutility of false + mammograms is calculated separately due to its relevance only to those in the mammography arm (see row 50 and below).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These are the false(+) requiring biopsy/aspiration, per screening mammogr.</t>
        </r>
      </text>
    </comment>
    <comment ref="C55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One week, utility 0.5.</t>
        </r>
      </text>
    </comment>
  </commentList>
</comments>
</file>

<file path=xl/sharedStrings.xml><?xml version="1.0" encoding="utf-8"?>
<sst xmlns="http://schemas.openxmlformats.org/spreadsheetml/2006/main" count="216" uniqueCount="73">
  <si>
    <t>Path Probability</t>
  </si>
  <si>
    <t>Die</t>
  </si>
  <si>
    <t>Cancer, die</t>
  </si>
  <si>
    <t>Br Ca, 10 y</t>
  </si>
  <si>
    <t>No mammog.</t>
  </si>
  <si>
    <t>Survive</t>
  </si>
  <si>
    <t>Cancer, live</t>
  </si>
  <si>
    <t>No Br Ca</t>
  </si>
  <si>
    <t>Women</t>
  </si>
  <si>
    <t>40-49</t>
  </si>
  <si>
    <t xml:space="preserve">  Mortality reduction</t>
  </si>
  <si>
    <t>Mammog.</t>
  </si>
  <si>
    <t>Mammog. – No mammog.</t>
  </si>
  <si>
    <t>Health
Outcomes, QALYs</t>
  </si>
  <si>
    <t>QALYs</t>
  </si>
  <si>
    <t>Estimated discounted QALYs, for mammography exercise</t>
  </si>
  <si>
    <t>Years from start of analysis</t>
  </si>
  <si>
    <t>No cancer</t>
  </si>
  <si>
    <t>QALYs lost, 10 yrs</t>
  </si>
  <si>
    <t># scr mammograms, 10 y</t>
  </si>
  <si>
    <t>discounted QALYs lost</t>
  </si>
  <si>
    <t># biopsy/aspira from false(+)</t>
  </si>
  <si>
    <t>QALYs lost per biopsy/asp</t>
  </si>
  <si>
    <t>Rate of false(+)</t>
  </si>
  <si>
    <t>40-year olds</t>
  </si>
  <si>
    <t>50-year olds</t>
  </si>
  <si>
    <t>All ages</t>
  </si>
  <si>
    <r>
      <t xml:space="preserve">Cancer, </t>
    </r>
    <r>
      <rPr>
        <b/>
        <i/>
        <sz val="10"/>
        <color indexed="10"/>
        <rFont val="Geneva"/>
      </rPr>
      <t>die</t>
    </r>
    <r>
      <rPr>
        <b/>
        <sz val="10"/>
        <rFont val="Geneva"/>
      </rPr>
      <t xml:space="preserve">
Utilities =
0.95 for 5 y (avg delay),
0.5 for 3 y after dx</t>
    </r>
  </si>
  <si>
    <r>
      <t xml:space="preserve">No Cancer </t>
    </r>
    <r>
      <rPr>
        <b/>
        <sz val="10"/>
        <rFont val="Geneva"/>
      </rPr>
      <t xml:space="preserve">
Utilities = 0.95, life expect = 41 yrs</t>
    </r>
  </si>
  <si>
    <r>
      <t xml:space="preserve">Cancer, </t>
    </r>
    <r>
      <rPr>
        <b/>
        <i/>
        <sz val="10"/>
        <color indexed="10"/>
        <rFont val="Geneva"/>
      </rPr>
      <t>live</t>
    </r>
    <r>
      <rPr>
        <b/>
        <sz val="10"/>
        <rFont val="Geneva"/>
      </rPr>
      <t xml:space="preserve">
Utilities =
0.95 for 5 y (avg delay),
0.5 for 3 y,
then 0.9</t>
    </r>
  </si>
  <si>
    <r>
      <t xml:space="preserve">No Cancer </t>
    </r>
    <r>
      <rPr>
        <b/>
        <sz val="10"/>
        <rFont val="Geneva"/>
      </rPr>
      <t xml:space="preserve">
Utilities = 0.95, life expect = 32 yrs</t>
    </r>
  </si>
  <si>
    <t>60-year olds</t>
  </si>
  <si>
    <r>
      <t xml:space="preserve">No Cancer </t>
    </r>
    <r>
      <rPr>
        <b/>
        <sz val="10"/>
        <rFont val="Geneva"/>
      </rPr>
      <t xml:space="preserve">
Utilities = 0.95, life expect = 24 yrs</t>
    </r>
  </si>
  <si>
    <t>QALYs lost (disutility) due to false + mammograms leading to biopsy/aspiration</t>
  </si>
  <si>
    <t>Adj for mammog false +</t>
  </si>
  <si>
    <t>NPV of QALYs, no mammog</t>
  </si>
  <si>
    <t>Disc. rate</t>
  </si>
  <si>
    <t>60-69</t>
  </si>
  <si>
    <t>50-59</t>
  </si>
  <si>
    <t>Direct
costs</t>
  </si>
  <si>
    <t>Time
costs</t>
  </si>
  <si>
    <t>Total
costs</t>
  </si>
  <si>
    <t>Total</t>
  </si>
  <si>
    <t>asp/biop (n=1)</t>
  </si>
  <si>
    <t>initial rx</t>
  </si>
  <si>
    <t>term. rx</t>
  </si>
  <si>
    <t>f/u care</t>
  </si>
  <si>
    <t>mammog. (n=2.5)</t>
  </si>
  <si>
    <t>mammog. (n=5)</t>
  </si>
  <si>
    <t>asp/biop (n=0.05 at baseline)</t>
  </si>
  <si>
    <t>$/QALY gained</t>
  </si>
  <si>
    <t>asp/biop (n=1.025)</t>
  </si>
  <si>
    <t xml:space="preserve">Rate of false (+) </t>
  </si>
  <si>
    <t>Direct cost / QALY gained (40-49)</t>
  </si>
  <si>
    <t>Morality reduction</t>
  </si>
  <si>
    <t>Direct cost per QALY gained</t>
  </si>
  <si>
    <t>(Fill in the light blue cells, not the black cells.)</t>
  </si>
  <si>
    <t>Your Answer</t>
  </si>
  <si>
    <t>Even when mortality reduction is equal, there is a difference in cost-effectiveness. What other input value is driving this difference?</t>
  </si>
  <si>
    <t xml:space="preserve">SA 2-Way </t>
  </si>
  <si>
    <t>Enter True or False for Q1-Q3. Enter text or percentage for Q4-Q6. (0.5 pt each)</t>
  </si>
  <si>
    <t xml:space="preserve">SA 1-Way </t>
  </si>
  <si>
    <t>Within the range selected for this exercise, when does screening mammography fall below $50,000/QALY gained for women 40-49?</t>
  </si>
  <si>
    <t xml:space="preserve"> As mortality reduction (effectiveness) drops below 10-15%, the (40-49) curve gets increasingly steep (that is, $/QALY gained is increasingly sensitive to absolute decreases in effectiveness).</t>
  </si>
  <si>
    <t>At 15% mortality reduction, mammography is roughly twice as attractive in terms of cost-effectiveness 40-49 than 60-69 age groups.</t>
  </si>
  <si>
    <t>Within the plausible range selected for this exercise (5%-40% mortality reduction), when does screening mammography fall below  $50,000/QALY for women for 50-59 and 60-69?</t>
  </si>
  <si>
    <t>Over the entire range from 0.5% to 4%, what is the increase in $/QALY for every 1% absolute increase in the false positive rate?</t>
  </si>
  <si>
    <t>What is the cost per QALY gained when the base case input value for false positive rate is doubled?</t>
  </si>
  <si>
    <r>
      <t xml:space="preserve">As mortality reduction </t>
    </r>
    <r>
      <rPr>
        <b/>
        <sz val="10"/>
        <rFont val="Geneva"/>
      </rPr>
      <t>increases</t>
    </r>
    <r>
      <rPr>
        <sz val="10"/>
        <rFont val="Geneva"/>
      </rPr>
      <t xml:space="preserve"> across all age groups, mammography becomes less cost-effective.</t>
    </r>
  </si>
  <si>
    <t>Within the plausible range selected for this exercise (5%-15% mortality reduction), when does screening mammography reach a cost-effectiveness below $50,000/QALY for women 40-49?</t>
  </si>
  <si>
    <r>
      <t xml:space="preserve">As the false positive rate </t>
    </r>
    <r>
      <rPr>
        <b/>
        <sz val="10"/>
        <rFont val="Geneva"/>
      </rPr>
      <t>increases</t>
    </r>
    <r>
      <rPr>
        <sz val="10"/>
        <rFont val="Geneva"/>
      </rPr>
      <t xml:space="preserve">, the $/QALY gained is increasingly sensitive to absolute changes in this input.  </t>
    </r>
  </si>
  <si>
    <r>
      <t xml:space="preserve">In theory (but not reflected in this model), an </t>
    </r>
    <r>
      <rPr>
        <b/>
        <sz val="10"/>
        <rFont val="Geneva"/>
      </rPr>
      <t>increase</t>
    </r>
    <r>
      <rPr>
        <sz val="10"/>
        <rFont val="Geneva"/>
      </rPr>
      <t xml:space="preserve"> in false positive rates would led to a </t>
    </r>
    <r>
      <rPr>
        <b/>
        <sz val="10"/>
        <rFont val="Geneva"/>
      </rPr>
      <t>decrease</t>
    </r>
    <r>
      <rPr>
        <sz val="10"/>
        <rFont val="Geneva"/>
      </rPr>
      <t xml:space="preserve"> in cost.</t>
    </r>
  </si>
  <si>
    <t>In this model, only the denominator, QALYs, not the numerator, cost, changed.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</si>
</sst>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165" formatCode="#\ &quot;YL&quot;"/>
    <numFmt numFmtId="169" formatCode="#0.00\ &quot;QALY&quot;"/>
    <numFmt numFmtId="172" formatCode="0.0000"/>
    <numFmt numFmtId="173" formatCode="0.0000000"/>
    <numFmt numFmtId="175" formatCode="0.00000"/>
    <numFmt numFmtId="185" formatCode="#,##0.000_);[Red]\(#,##0.000\)"/>
  </numFmts>
  <fonts count="19">
    <font>
      <sz val="10"/>
      <name val="Geneva"/>
    </font>
    <font>
      <b/>
      <sz val="10"/>
      <name val="Geneva"/>
    </font>
    <font>
      <i/>
      <sz val="10"/>
      <name val="Geneva"/>
    </font>
    <font>
      <b/>
      <i/>
      <sz val="10"/>
      <name val="Geneva"/>
    </font>
    <font>
      <sz val="10"/>
      <name val="Geneva"/>
    </font>
    <font>
      <sz val="9"/>
      <name val="Geneva"/>
    </font>
    <font>
      <b/>
      <sz val="9"/>
      <name val="Geneva"/>
    </font>
    <font>
      <b/>
      <sz val="12"/>
      <name val="Geneva"/>
    </font>
    <font>
      <sz val="9"/>
      <color indexed="10"/>
      <name val="Geneva"/>
    </font>
    <font>
      <sz val="8"/>
      <color indexed="81"/>
      <name val="Tahoma"/>
      <family val="2"/>
    </font>
    <font>
      <b/>
      <i/>
      <sz val="10"/>
      <color indexed="8"/>
      <name val="Geneva"/>
    </font>
    <font>
      <b/>
      <sz val="10"/>
      <color indexed="10"/>
      <name val="Geneva"/>
    </font>
    <font>
      <b/>
      <sz val="8"/>
      <color indexed="81"/>
      <name val="Tahoma"/>
      <family val="2"/>
    </font>
    <font>
      <b/>
      <sz val="11"/>
      <name val="Geneva"/>
    </font>
    <font>
      <b/>
      <i/>
      <sz val="10"/>
      <color indexed="10"/>
      <name val="Geneva"/>
    </font>
    <font>
      <b/>
      <sz val="10"/>
      <color indexed="8"/>
      <name val="Geneva"/>
    </font>
    <font>
      <i/>
      <sz val="9"/>
      <name val="Geneva"/>
    </font>
    <font>
      <u/>
      <sz val="9"/>
      <name val="Geneva"/>
    </font>
    <font>
      <sz val="8"/>
      <name val="Geneva"/>
    </font>
  </fonts>
  <fills count="1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lightGray">
        <fgColor indexed="1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/>
      <top/>
      <bottom style="medium">
        <color indexed="1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</borders>
  <cellStyleXfs count="2">
    <xf numFmtId="0" fontId="0" fillId="0" borderId="0"/>
    <xf numFmtId="40" fontId="4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Alignment="1">
      <alignment horizontal="righ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2" borderId="8" xfId="0" applyFont="1" applyFill="1" applyBorder="1"/>
    <xf numFmtId="0" fontId="5" fillId="2" borderId="9" xfId="0" applyFont="1" applyFill="1" applyBorder="1"/>
    <xf numFmtId="0" fontId="1" fillId="3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5" fontId="5" fillId="0" borderId="4" xfId="0" applyNumberFormat="1" applyFont="1" applyBorder="1" applyAlignment="1">
      <alignment horizontal="center"/>
    </xf>
    <xf numFmtId="172" fontId="1" fillId="0" borderId="11" xfId="0" applyNumberFormat="1" applyFont="1" applyBorder="1" applyAlignment="1">
      <alignment horizontal="center"/>
    </xf>
    <xf numFmtId="172" fontId="1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9" fontId="1" fillId="3" borderId="13" xfId="0" applyNumberFormat="1" applyFont="1" applyFill="1" applyBorder="1" applyAlignment="1">
      <alignment horizontal="center"/>
    </xf>
    <xf numFmtId="169" fontId="1" fillId="3" borderId="1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2" fontId="15" fillId="5" borderId="15" xfId="0" applyNumberFormat="1" applyFont="1" applyFill="1" applyBorder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175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6" fillId="6" borderId="0" xfId="0" applyFont="1" applyFill="1" applyBorder="1" applyAlignment="1">
      <alignment horizontal="right"/>
    </xf>
    <xf numFmtId="0" fontId="0" fillId="7" borderId="0" xfId="0" applyFill="1" applyBorder="1"/>
    <xf numFmtId="0" fontId="16" fillId="5" borderId="16" xfId="0" applyFont="1" applyFill="1" applyBorder="1" applyAlignment="1">
      <alignment horizontal="center" vertical="center" wrapText="1"/>
    </xf>
    <xf numFmtId="175" fontId="10" fillId="5" borderId="16" xfId="0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 wrapText="1"/>
    </xf>
    <xf numFmtId="175" fontId="10" fillId="8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5" fontId="6" fillId="0" borderId="0" xfId="0" applyNumberFormat="1" applyFont="1" applyAlignment="1">
      <alignment horizontal="center" wrapText="1"/>
    </xf>
    <xf numFmtId="5" fontId="5" fillId="0" borderId="0" xfId="0" applyNumberFormat="1" applyFont="1"/>
    <xf numFmtId="5" fontId="17" fillId="0" borderId="0" xfId="0" applyNumberFormat="1" applyFont="1"/>
    <xf numFmtId="165" fontId="5" fillId="0" borderId="0" xfId="0" applyNumberFormat="1" applyFont="1" applyAlignment="1">
      <alignment horizontal="right"/>
    </xf>
    <xf numFmtId="5" fontId="5" fillId="9" borderId="17" xfId="0" applyNumberFormat="1" applyFont="1" applyFill="1" applyBorder="1"/>
    <xf numFmtId="5" fontId="5" fillId="0" borderId="0" xfId="0" applyNumberFormat="1" applyFont="1" applyBorder="1"/>
    <xf numFmtId="0" fontId="5" fillId="0" borderId="18" xfId="0" applyFont="1" applyBorder="1" applyAlignment="1">
      <alignment horizontal="center"/>
    </xf>
    <xf numFmtId="5" fontId="5" fillId="0" borderId="18" xfId="0" applyNumberFormat="1" applyFont="1" applyBorder="1" applyAlignment="1">
      <alignment horizontal="right"/>
    </xf>
    <xf numFmtId="5" fontId="5" fillId="0" borderId="19" xfId="0" applyNumberFormat="1" applyFont="1" applyBorder="1"/>
    <xf numFmtId="5" fontId="5" fillId="0" borderId="0" xfId="0" applyNumberFormat="1" applyFont="1" applyFill="1"/>
    <xf numFmtId="5" fontId="6" fillId="0" borderId="18" xfId="0" applyNumberFormat="1" applyFont="1" applyBorder="1" applyAlignment="1">
      <alignment horizontal="right"/>
    </xf>
    <xf numFmtId="5" fontId="6" fillId="0" borderId="19" xfId="0" applyNumberFormat="1" applyFont="1" applyBorder="1"/>
    <xf numFmtId="5" fontId="5" fillId="0" borderId="0" xfId="0" applyNumberFormat="1" applyFont="1" applyBorder="1" applyAlignment="1">
      <alignment horizontal="right"/>
    </xf>
    <xf numFmtId="0" fontId="0" fillId="0" borderId="20" xfId="0" applyBorder="1"/>
    <xf numFmtId="5" fontId="6" fillId="0" borderId="20" xfId="0" applyNumberFormat="1" applyFont="1" applyBorder="1"/>
    <xf numFmtId="5" fontId="6" fillId="0" borderId="21" xfId="0" applyNumberFormat="1" applyFont="1" applyBorder="1"/>
    <xf numFmtId="0" fontId="6" fillId="0" borderId="0" xfId="0" applyFont="1" applyFill="1" applyBorder="1" applyAlignment="1">
      <alignment horizontal="right"/>
    </xf>
    <xf numFmtId="5" fontId="1" fillId="0" borderId="22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center"/>
    </xf>
    <xf numFmtId="5" fontId="5" fillId="0" borderId="0" xfId="0" applyNumberFormat="1" applyFont="1" applyAlignment="1">
      <alignment horizontal="center"/>
    </xf>
    <xf numFmtId="0" fontId="0" fillId="0" borderId="23" xfId="0" applyBorder="1"/>
    <xf numFmtId="0" fontId="5" fillId="0" borderId="24" xfId="0" applyFont="1" applyBorder="1"/>
    <xf numFmtId="0" fontId="5" fillId="0" borderId="24" xfId="0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185" fontId="5" fillId="0" borderId="24" xfId="1" applyNumberFormat="1" applyFont="1" applyBorder="1" applyAlignment="1">
      <alignment horizontal="center"/>
    </xf>
    <xf numFmtId="185" fontId="6" fillId="0" borderId="24" xfId="1" applyNumberFormat="1" applyFont="1" applyBorder="1" applyAlignment="1">
      <alignment horizontal="center"/>
    </xf>
    <xf numFmtId="185" fontId="5" fillId="0" borderId="25" xfId="0" applyNumberFormat="1" applyFont="1" applyBorder="1" applyAlignment="1">
      <alignment horizontal="center"/>
    </xf>
    <xf numFmtId="0" fontId="0" fillId="0" borderId="26" xfId="0" applyBorder="1"/>
    <xf numFmtId="0" fontId="5" fillId="0" borderId="27" xfId="0" applyFont="1" applyBorder="1"/>
    <xf numFmtId="0" fontId="5" fillId="0" borderId="27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5" fontId="5" fillId="0" borderId="27" xfId="0" applyNumberFormat="1" applyFont="1" applyBorder="1" applyAlignment="1">
      <alignment horizontal="center"/>
    </xf>
    <xf numFmtId="5" fontId="6" fillId="0" borderId="27" xfId="0" applyNumberFormat="1" applyFont="1" applyBorder="1" applyAlignment="1">
      <alignment horizontal="center"/>
    </xf>
    <xf numFmtId="5" fontId="5" fillId="0" borderId="28" xfId="0" applyNumberFormat="1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9" fontId="5" fillId="0" borderId="25" xfId="0" applyNumberFormat="1" applyFont="1" applyBorder="1" applyAlignment="1">
      <alignment horizontal="center"/>
    </xf>
    <xf numFmtId="0" fontId="0" fillId="0" borderId="29" xfId="0" applyBorder="1"/>
    <xf numFmtId="0" fontId="5" fillId="0" borderId="0" xfId="0" applyFont="1" applyBorder="1" applyAlignment="1">
      <alignment horizontal="right"/>
    </xf>
    <xf numFmtId="0" fontId="0" fillId="0" borderId="30" xfId="0" applyBorder="1"/>
    <xf numFmtId="0" fontId="5" fillId="0" borderId="29" xfId="0" applyFont="1" applyBorder="1"/>
    <xf numFmtId="0" fontId="5" fillId="0" borderId="26" xfId="0" applyFont="1" applyBorder="1"/>
    <xf numFmtId="5" fontId="5" fillId="10" borderId="0" xfId="0" applyNumberFormat="1" applyFont="1" applyFill="1" applyBorder="1" applyAlignment="1">
      <alignment horizontal="center"/>
    </xf>
    <xf numFmtId="5" fontId="5" fillId="10" borderId="27" xfId="0" applyNumberFormat="1" applyFont="1" applyFill="1" applyBorder="1" applyAlignment="1">
      <alignment horizontal="center"/>
    </xf>
    <xf numFmtId="5" fontId="5" fillId="10" borderId="30" xfId="0" applyNumberFormat="1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173" fontId="1" fillId="0" borderId="11" xfId="0" applyNumberFormat="1" applyFont="1" applyBorder="1" applyAlignment="1">
      <alignment horizontal="center"/>
    </xf>
    <xf numFmtId="5" fontId="5" fillId="12" borderId="0" xfId="0" applyNumberFormat="1" applyFont="1" applyFill="1" applyBorder="1" applyAlignment="1">
      <alignment horizontal="center"/>
    </xf>
    <xf numFmtId="5" fontId="5" fillId="12" borderId="27" xfId="0" applyNumberFormat="1" applyFont="1" applyFill="1" applyBorder="1" applyAlignment="1">
      <alignment horizontal="center"/>
    </xf>
    <xf numFmtId="5" fontId="6" fillId="12" borderId="27" xfId="0" applyNumberFormat="1" applyFont="1" applyFill="1" applyBorder="1" applyAlignment="1">
      <alignment horizontal="center"/>
    </xf>
    <xf numFmtId="5" fontId="5" fillId="12" borderId="28" xfId="0" applyNumberFormat="1" applyFont="1" applyFill="1" applyBorder="1" applyAlignment="1">
      <alignment horizontal="center"/>
    </xf>
    <xf numFmtId="5" fontId="6" fillId="1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13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1" fillId="14" borderId="0" xfId="0" applyFont="1" applyFill="1"/>
    <xf numFmtId="0" fontId="0" fillId="0" borderId="0" xfId="0" applyFont="1" applyAlignment="1">
      <alignment horizontal="left" vertical="center" wrapText="1" indent="2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wrapText="1" indent="2"/>
    </xf>
    <xf numFmtId="0" fontId="0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8" fillId="0" borderId="0" xfId="0" applyFont="1" applyFill="1" applyBorder="1"/>
    <xf numFmtId="0" fontId="1" fillId="5" borderId="15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Geneva"/>
              </a:rPr>
              <a:t>Two way Sensitivity Analysis for Mammography: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Geneva"/>
              </a:rPr>
              <a:t>By decade of life and mortality reduction</a:t>
            </a:r>
          </a:p>
        </c:rich>
      </c:tx>
      <c:layout>
        <c:manualLayout>
          <c:xMode val="edge"/>
          <c:yMode val="edge"/>
          <c:x val="0.29830521820365674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39001882159866"/>
          <c:y val="0.21739165048347883"/>
          <c:w val="0.65423769421864297"/>
          <c:h val="0.55652262523770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'SA 2way'!$D$4</c:f>
              <c:strCache>
                <c:ptCount val="1"/>
                <c:pt idx="0">
                  <c:v>40-49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2way'!$F$2:$K$2</c:f>
              <c:numCache>
                <c:formatCode>0%</c:formatCode>
                <c:ptCount val="6"/>
                <c:pt idx="0">
                  <c:v>0.05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</c:numCache>
            </c:numRef>
          </c:xVal>
          <c:yVal>
            <c:numRef>
              <c:f>'SA 2way'!$F$4:$K$4</c:f>
              <c:numCache>
                <c:formatCode>"$"#,##0_);\("$"#,##0\)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4D-40AC-9469-10C2182DA194}"/>
            </c:ext>
          </c:extLst>
        </c:ser>
        <c:ser>
          <c:idx val="1"/>
          <c:order val="1"/>
          <c:tx>
            <c:strRef>
              <c:f>'SA 2way'!$D$5</c:f>
              <c:strCache>
                <c:ptCount val="1"/>
                <c:pt idx="0">
                  <c:v>50-59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2way'!$F$2:$K$2</c:f>
              <c:numCache>
                <c:formatCode>0%</c:formatCode>
                <c:ptCount val="6"/>
                <c:pt idx="0">
                  <c:v>0.05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</c:numCache>
            </c:numRef>
          </c:xVal>
          <c:yVal>
            <c:numRef>
              <c:f>'SA 2way'!$F$5:$K$5</c:f>
              <c:numCache>
                <c:formatCode>"$"#,##0_);\("$"#,##0\)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4D-40AC-9469-10C2182DA194}"/>
            </c:ext>
          </c:extLst>
        </c:ser>
        <c:ser>
          <c:idx val="2"/>
          <c:order val="2"/>
          <c:tx>
            <c:strRef>
              <c:f>'SA 2way'!$D$6</c:f>
              <c:strCache>
                <c:ptCount val="1"/>
                <c:pt idx="0">
                  <c:v>60-69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2way'!$F$2:$K$2</c:f>
              <c:numCache>
                <c:formatCode>0%</c:formatCode>
                <c:ptCount val="6"/>
                <c:pt idx="0">
                  <c:v>0.05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</c:numCache>
            </c:numRef>
          </c:xVal>
          <c:yVal>
            <c:numRef>
              <c:f>'SA 2way'!$F$6:$K$6</c:f>
              <c:numCache>
                <c:formatCode>"$"#,##0_);\("$"#,##0\)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4D-40AC-9469-10C2182D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159944"/>
        <c:axId val="1"/>
      </c:scatterChart>
      <c:valAx>
        <c:axId val="558159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Mortality reduction</a:t>
                </a:r>
              </a:p>
            </c:rich>
          </c:tx>
          <c:layout>
            <c:manualLayout>
              <c:xMode val="edge"/>
              <c:yMode val="edge"/>
              <c:x val="0.54915294274656345"/>
              <c:y val="0.8739144128723039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Geneva"/>
                  </a:rPr>
                  <a:t>Direct cost per</a:t>
                </a:r>
              </a:p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QALY gained</a:t>
                </a:r>
              </a:p>
            </c:rich>
          </c:tx>
          <c:layout>
            <c:manualLayout>
              <c:xMode val="edge"/>
              <c:yMode val="edge"/>
              <c:x val="8.6440677966101692E-2"/>
              <c:y val="0.43043546730571719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_);\(&quot;$&quot;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58159944"/>
        <c:crosses val="autoZero"/>
        <c:crossBetween val="midCat"/>
        <c:maj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237288135593216"/>
          <c:y val="0.38538268496723971"/>
          <c:w val="0.17457627118644067"/>
          <c:h val="0.1893690779580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Geneva"/>
              </a:rPr>
              <a:t>Fig. 1 Sensitivity Analysis for Mortality Reduction,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Mammography in Women 40-49 years old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4-4DB0-839F-6A4CC828B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142232"/>
        <c:axId val="1"/>
      </c:scatterChart>
      <c:valAx>
        <c:axId val="55814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58142232"/>
        <c:crosses val="autoZero"/>
        <c:crossBetween val="midCat"/>
        <c:majorUnit val="5000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Geneva"/>
              </a:rPr>
              <a:t>Fig. 2 Two way Sensitivity Analysis for Mammography: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By decade of life and mortality reduction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 1way'!#REF!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9A-4D59-88A0-4B166A9C4D68}"/>
            </c:ext>
          </c:extLst>
        </c:ser>
        <c:ser>
          <c:idx val="1"/>
          <c:order val="1"/>
          <c:tx>
            <c:strRef>
              <c:f>'SA 1way'!#REF!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9A-4D59-88A0-4B166A9C4D68}"/>
            </c:ext>
          </c:extLst>
        </c:ser>
        <c:ser>
          <c:idx val="2"/>
          <c:order val="2"/>
          <c:tx>
            <c:strRef>
              <c:f>'SA 1way'!#REF!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9A-4D59-88A0-4B166A9C4D68}"/>
            </c:ext>
          </c:extLst>
        </c:ser>
        <c:ser>
          <c:idx val="3"/>
          <c:order val="3"/>
          <c:tx>
            <c:strRef>
              <c:f>'SA 1way'!#REF!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'SA 1way'!#REF!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9A-4D59-88A0-4B166A9C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148136"/>
        <c:axId val="1"/>
      </c:scatterChart>
      <c:valAx>
        <c:axId val="55814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58148136"/>
        <c:crosses val="autoZero"/>
        <c:crossBetween val="midCat"/>
        <c:majorUnit val="5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One-way Sensitivity Analysis for Frequency of Aspirate/biopsy, Mammography in Women 40-49 years old</a:t>
            </a:r>
          </a:p>
        </c:rich>
      </c:tx>
      <c:layout>
        <c:manualLayout>
          <c:xMode val="edge"/>
          <c:yMode val="edge"/>
          <c:x val="0.11209982978841176"/>
          <c:y val="3.603615691536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09260360177008"/>
          <c:y val="0.20720675146319092"/>
          <c:w val="0.59252681909240923"/>
          <c:h val="0.5585573300312103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'SA 1way'!$H$5:$L$5</c:f>
              <c:numCache>
                <c:formatCode>#,##0.000_);[Red]\(#,##0.000\)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</c:numCache>
            </c:numRef>
          </c:xVal>
          <c:yVal>
            <c:numRef>
              <c:f>'SA 1way'!$H$6:$L$6</c:f>
              <c:numCache>
                <c:formatCode>"$"#,##0_);\("$"#,##0\)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60-41CE-8698-E91541BA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141576"/>
        <c:axId val="1"/>
      </c:scatterChart>
      <c:valAx>
        <c:axId val="55814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False (+) rate</a:t>
                </a:r>
              </a:p>
            </c:rich>
          </c:tx>
          <c:layout>
            <c:manualLayout>
              <c:xMode val="edge"/>
              <c:yMode val="edge"/>
              <c:x val="0.58718887950956922"/>
              <c:y val="0.869367607076021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_);[Red]\(#,##0.00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Geneva"/>
                  </a:rPr>
                  <a:t>Direct cost per</a:t>
                </a:r>
              </a:p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Geneva"/>
                  </a:rPr>
                  <a:t>QALY gained</a:t>
                </a:r>
              </a:p>
            </c:rich>
          </c:tx>
          <c:layout>
            <c:manualLayout>
              <c:xMode val="edge"/>
              <c:yMode val="edge"/>
              <c:x val="9.6085548621009362E-2"/>
              <c:y val="0.41891776420324145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_);\(&quot;$&quot;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58141576"/>
        <c:crosses val="autoZero"/>
        <c:crossBetween val="midCat"/>
        <c:majorUnit val="25000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landscape" horizontalDpi="300" verticalDpi="30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85725</xdr:rowOff>
    </xdr:from>
    <xdr:to>
      <xdr:col>1</xdr:col>
      <xdr:colOff>47625</xdr:colOff>
      <xdr:row>19</xdr:row>
      <xdr:rowOff>66675</xdr:rowOff>
    </xdr:to>
    <xdr:sp macro="" textlink="">
      <xdr:nvSpPr>
        <xdr:cNvPr id="5360" name="Rectangle 1">
          <a:extLst>
            <a:ext uri="{FF2B5EF4-FFF2-40B4-BE49-F238E27FC236}">
              <a16:creationId xmlns:a16="http://schemas.microsoft.com/office/drawing/2014/main" id="{37289360-0BF4-4BEA-B5E2-AEC122B21B4B}"/>
            </a:ext>
          </a:extLst>
        </xdr:cNvPr>
        <xdr:cNvSpPr>
          <a:spLocks noChangeArrowheads="1"/>
        </xdr:cNvSpPr>
      </xdr:nvSpPr>
      <xdr:spPr bwMode="auto">
        <a:xfrm>
          <a:off x="419100" y="3438525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5</xdr:row>
      <xdr:rowOff>76200</xdr:rowOff>
    </xdr:from>
    <xdr:to>
      <xdr:col>3</xdr:col>
      <xdr:colOff>57150</xdr:colOff>
      <xdr:row>6</xdr:row>
      <xdr:rowOff>76200</xdr:rowOff>
    </xdr:to>
    <xdr:sp macro="" textlink="">
      <xdr:nvSpPr>
        <xdr:cNvPr id="5361" name="Oval 2">
          <a:extLst>
            <a:ext uri="{FF2B5EF4-FFF2-40B4-BE49-F238E27FC236}">
              <a16:creationId xmlns:a16="http://schemas.microsoft.com/office/drawing/2014/main" id="{332A167B-137B-4FB7-8F48-79B633D8D6A6}"/>
            </a:ext>
          </a:extLst>
        </xdr:cNvPr>
        <xdr:cNvSpPr>
          <a:spLocks noChangeArrowheads="1"/>
        </xdr:cNvSpPr>
      </xdr:nvSpPr>
      <xdr:spPr bwMode="auto">
        <a:xfrm>
          <a:off x="1743075" y="1295400"/>
          <a:ext cx="123825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8</xdr:row>
      <xdr:rowOff>76200</xdr:rowOff>
    </xdr:from>
    <xdr:to>
      <xdr:col>2</xdr:col>
      <xdr:colOff>57150</xdr:colOff>
      <xdr:row>9</xdr:row>
      <xdr:rowOff>76200</xdr:rowOff>
    </xdr:to>
    <xdr:sp macro="" textlink="">
      <xdr:nvSpPr>
        <xdr:cNvPr id="5362" name="Oval 3">
          <a:extLst>
            <a:ext uri="{FF2B5EF4-FFF2-40B4-BE49-F238E27FC236}">
              <a16:creationId xmlns:a16="http://schemas.microsoft.com/office/drawing/2014/main" id="{E92CE860-BEE4-4470-8CC9-236958473CDA}"/>
            </a:ext>
          </a:extLst>
        </xdr:cNvPr>
        <xdr:cNvSpPr>
          <a:spLocks noChangeArrowheads="1"/>
        </xdr:cNvSpPr>
      </xdr:nvSpPr>
      <xdr:spPr bwMode="auto">
        <a:xfrm>
          <a:off x="1057275" y="1828800"/>
          <a:ext cx="13335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25</xdr:row>
      <xdr:rowOff>76200</xdr:rowOff>
    </xdr:from>
    <xdr:to>
      <xdr:col>3</xdr:col>
      <xdr:colOff>57150</xdr:colOff>
      <xdr:row>26</xdr:row>
      <xdr:rowOff>76200</xdr:rowOff>
    </xdr:to>
    <xdr:sp macro="" textlink="">
      <xdr:nvSpPr>
        <xdr:cNvPr id="5363" name="Oval 4">
          <a:extLst>
            <a:ext uri="{FF2B5EF4-FFF2-40B4-BE49-F238E27FC236}">
              <a16:creationId xmlns:a16="http://schemas.microsoft.com/office/drawing/2014/main" id="{DFB37144-1D15-417D-9BA7-0ECF3376D0E1}"/>
            </a:ext>
          </a:extLst>
        </xdr:cNvPr>
        <xdr:cNvSpPr>
          <a:spLocks noChangeArrowheads="1"/>
        </xdr:cNvSpPr>
      </xdr:nvSpPr>
      <xdr:spPr bwMode="auto">
        <a:xfrm>
          <a:off x="1743075" y="4600575"/>
          <a:ext cx="123825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76200</xdr:rowOff>
    </xdr:from>
    <xdr:to>
      <xdr:col>2</xdr:col>
      <xdr:colOff>66675</xdr:colOff>
      <xdr:row>30</xdr:row>
      <xdr:rowOff>76200</xdr:rowOff>
    </xdr:to>
    <xdr:sp macro="" textlink="">
      <xdr:nvSpPr>
        <xdr:cNvPr id="5364" name="Oval 5">
          <a:extLst>
            <a:ext uri="{FF2B5EF4-FFF2-40B4-BE49-F238E27FC236}">
              <a16:creationId xmlns:a16="http://schemas.microsoft.com/office/drawing/2014/main" id="{5590BEF7-7117-4BE8-A7C9-2EF1F74A35BA}"/>
            </a:ext>
          </a:extLst>
        </xdr:cNvPr>
        <xdr:cNvSpPr>
          <a:spLocks noChangeArrowheads="1"/>
        </xdr:cNvSpPr>
      </xdr:nvSpPr>
      <xdr:spPr bwMode="auto">
        <a:xfrm>
          <a:off x="1066800" y="5257800"/>
          <a:ext cx="13335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22</xdr:row>
      <xdr:rowOff>0</xdr:rowOff>
    </xdr:from>
    <xdr:to>
      <xdr:col>2</xdr:col>
      <xdr:colOff>447675</xdr:colOff>
      <xdr:row>23</xdr:row>
      <xdr:rowOff>85725</xdr:rowOff>
    </xdr:to>
    <xdr:sp macro="" textlink="">
      <xdr:nvSpPr>
        <xdr:cNvPr id="5365" name="Line 6">
          <a:extLst>
            <a:ext uri="{FF2B5EF4-FFF2-40B4-BE49-F238E27FC236}">
              <a16:creationId xmlns:a16="http://schemas.microsoft.com/office/drawing/2014/main" id="{6759F5AB-7312-41EA-B461-3206041BCB42}"/>
            </a:ext>
          </a:extLst>
        </xdr:cNvPr>
        <xdr:cNvSpPr>
          <a:spLocks noChangeShapeType="1"/>
        </xdr:cNvSpPr>
      </xdr:nvSpPr>
      <xdr:spPr bwMode="auto">
        <a:xfrm>
          <a:off x="1581150" y="40195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23</xdr:row>
      <xdr:rowOff>85725</xdr:rowOff>
    </xdr:from>
    <xdr:to>
      <xdr:col>3</xdr:col>
      <xdr:colOff>0</xdr:colOff>
      <xdr:row>23</xdr:row>
      <xdr:rowOff>85725</xdr:rowOff>
    </xdr:to>
    <xdr:sp macro="" textlink="">
      <xdr:nvSpPr>
        <xdr:cNvPr id="5366" name="Line 7">
          <a:extLst>
            <a:ext uri="{FF2B5EF4-FFF2-40B4-BE49-F238E27FC236}">
              <a16:creationId xmlns:a16="http://schemas.microsoft.com/office/drawing/2014/main" id="{AF821301-9B87-4B83-84C6-43A5C38C5C6E}"/>
            </a:ext>
          </a:extLst>
        </xdr:cNvPr>
        <xdr:cNvSpPr>
          <a:spLocks noChangeShapeType="1"/>
        </xdr:cNvSpPr>
      </xdr:nvSpPr>
      <xdr:spPr bwMode="auto">
        <a:xfrm>
          <a:off x="1590675" y="427672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</xdr:row>
      <xdr:rowOff>28575</xdr:rowOff>
    </xdr:from>
    <xdr:to>
      <xdr:col>3</xdr:col>
      <xdr:colOff>0</xdr:colOff>
      <xdr:row>7</xdr:row>
      <xdr:rowOff>0</xdr:rowOff>
    </xdr:to>
    <xdr:sp macro="" textlink="">
      <xdr:nvSpPr>
        <xdr:cNvPr id="5367" name="Rectangle 10">
          <a:extLst>
            <a:ext uri="{FF2B5EF4-FFF2-40B4-BE49-F238E27FC236}">
              <a16:creationId xmlns:a16="http://schemas.microsoft.com/office/drawing/2014/main" id="{F22BA936-4095-4F0B-844B-32BC28CA8E92}"/>
            </a:ext>
          </a:extLst>
        </xdr:cNvPr>
        <xdr:cNvSpPr>
          <a:spLocks noChangeArrowheads="1"/>
        </xdr:cNvSpPr>
      </xdr:nvSpPr>
      <xdr:spPr bwMode="auto">
        <a:xfrm>
          <a:off x="1152525" y="1409700"/>
          <a:ext cx="657225" cy="180975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0.0842</cdr:x>
      <cdr:y>0.78239</cdr:y>
    </cdr:from>
    <cdr:to>
      <cdr:x>0.11124</cdr:x>
      <cdr:y>0.85265</cdr:y>
    </cdr:to>
    <cdr:sp macro="" textlink="">
      <cdr:nvSpPr>
        <cdr:cNvPr id="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213" y="2037926"/>
          <a:ext cx="153324" cy="189093"/>
        </a:xfrm>
        <a:prstGeom xmlns:a="http://schemas.openxmlformats.org/drawingml/2006/main" prst="rect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85725</xdr:rowOff>
    </xdr:from>
    <xdr:to>
      <xdr:col>1</xdr:col>
      <xdr:colOff>47625</xdr:colOff>
      <xdr:row>19</xdr:row>
      <xdr:rowOff>66675</xdr:rowOff>
    </xdr:to>
    <xdr:sp macro="" textlink="">
      <xdr:nvSpPr>
        <xdr:cNvPr id="13578" name="Rectangle 1">
          <a:extLst>
            <a:ext uri="{FF2B5EF4-FFF2-40B4-BE49-F238E27FC236}">
              <a16:creationId xmlns:a16="http://schemas.microsoft.com/office/drawing/2014/main" id="{E07DF933-1166-406B-A13D-6B59E2B9EECE}"/>
            </a:ext>
          </a:extLst>
        </xdr:cNvPr>
        <xdr:cNvSpPr>
          <a:spLocks noChangeArrowheads="1"/>
        </xdr:cNvSpPr>
      </xdr:nvSpPr>
      <xdr:spPr bwMode="auto">
        <a:xfrm>
          <a:off x="419100" y="3371850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5</xdr:row>
      <xdr:rowOff>85725</xdr:rowOff>
    </xdr:from>
    <xdr:to>
      <xdr:col>3</xdr:col>
      <xdr:colOff>57150</xdr:colOff>
      <xdr:row>6</xdr:row>
      <xdr:rowOff>76200</xdr:rowOff>
    </xdr:to>
    <xdr:sp macro="" textlink="">
      <xdr:nvSpPr>
        <xdr:cNvPr id="13579" name="Oval 2">
          <a:extLst>
            <a:ext uri="{FF2B5EF4-FFF2-40B4-BE49-F238E27FC236}">
              <a16:creationId xmlns:a16="http://schemas.microsoft.com/office/drawing/2014/main" id="{5013AF6A-9309-47FC-8C32-14C98FDCE4E8}"/>
            </a:ext>
          </a:extLst>
        </xdr:cNvPr>
        <xdr:cNvSpPr>
          <a:spLocks noChangeArrowheads="1"/>
        </xdr:cNvSpPr>
      </xdr:nvSpPr>
      <xdr:spPr bwMode="auto">
        <a:xfrm>
          <a:off x="1743075" y="12858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8</xdr:row>
      <xdr:rowOff>85725</xdr:rowOff>
    </xdr:from>
    <xdr:to>
      <xdr:col>2</xdr:col>
      <xdr:colOff>57150</xdr:colOff>
      <xdr:row>9</xdr:row>
      <xdr:rowOff>76200</xdr:rowOff>
    </xdr:to>
    <xdr:sp macro="" textlink="">
      <xdr:nvSpPr>
        <xdr:cNvPr id="13580" name="Oval 3">
          <a:extLst>
            <a:ext uri="{FF2B5EF4-FFF2-40B4-BE49-F238E27FC236}">
              <a16:creationId xmlns:a16="http://schemas.microsoft.com/office/drawing/2014/main" id="{DF572D66-4223-4118-B56C-5C400F94D2AB}"/>
            </a:ext>
          </a:extLst>
        </xdr:cNvPr>
        <xdr:cNvSpPr>
          <a:spLocks noChangeArrowheads="1"/>
        </xdr:cNvSpPr>
      </xdr:nvSpPr>
      <xdr:spPr bwMode="auto">
        <a:xfrm>
          <a:off x="1057275" y="1809750"/>
          <a:ext cx="1333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25</xdr:row>
      <xdr:rowOff>85725</xdr:rowOff>
    </xdr:from>
    <xdr:to>
      <xdr:col>3</xdr:col>
      <xdr:colOff>57150</xdr:colOff>
      <xdr:row>26</xdr:row>
      <xdr:rowOff>85725</xdr:rowOff>
    </xdr:to>
    <xdr:sp macro="" textlink="">
      <xdr:nvSpPr>
        <xdr:cNvPr id="13581" name="Oval 4">
          <a:extLst>
            <a:ext uri="{FF2B5EF4-FFF2-40B4-BE49-F238E27FC236}">
              <a16:creationId xmlns:a16="http://schemas.microsoft.com/office/drawing/2014/main" id="{BA3393CD-38F9-4600-84C0-EED85AA67A2E}"/>
            </a:ext>
          </a:extLst>
        </xdr:cNvPr>
        <xdr:cNvSpPr>
          <a:spLocks noChangeArrowheads="1"/>
        </xdr:cNvSpPr>
      </xdr:nvSpPr>
      <xdr:spPr bwMode="auto">
        <a:xfrm>
          <a:off x="1743075" y="45243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76200</xdr:rowOff>
    </xdr:from>
    <xdr:to>
      <xdr:col>2</xdr:col>
      <xdr:colOff>66675</xdr:colOff>
      <xdr:row>30</xdr:row>
      <xdr:rowOff>85725</xdr:rowOff>
    </xdr:to>
    <xdr:sp macro="" textlink="">
      <xdr:nvSpPr>
        <xdr:cNvPr id="13582" name="Oval 5">
          <a:extLst>
            <a:ext uri="{FF2B5EF4-FFF2-40B4-BE49-F238E27FC236}">
              <a16:creationId xmlns:a16="http://schemas.microsoft.com/office/drawing/2014/main" id="{56CBE55B-3F38-416A-9549-E44280B319F6}"/>
            </a:ext>
          </a:extLst>
        </xdr:cNvPr>
        <xdr:cNvSpPr>
          <a:spLocks noChangeArrowheads="1"/>
        </xdr:cNvSpPr>
      </xdr:nvSpPr>
      <xdr:spPr bwMode="auto">
        <a:xfrm>
          <a:off x="1066800" y="5133975"/>
          <a:ext cx="1333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22</xdr:row>
      <xdr:rowOff>0</xdr:rowOff>
    </xdr:from>
    <xdr:to>
      <xdr:col>2</xdr:col>
      <xdr:colOff>447675</xdr:colOff>
      <xdr:row>23</xdr:row>
      <xdr:rowOff>85725</xdr:rowOff>
    </xdr:to>
    <xdr:sp macro="" textlink="">
      <xdr:nvSpPr>
        <xdr:cNvPr id="13583" name="Line 6">
          <a:extLst>
            <a:ext uri="{FF2B5EF4-FFF2-40B4-BE49-F238E27FC236}">
              <a16:creationId xmlns:a16="http://schemas.microsoft.com/office/drawing/2014/main" id="{730EECFF-3021-41FE-AE7A-F7CA214415F9}"/>
            </a:ext>
          </a:extLst>
        </xdr:cNvPr>
        <xdr:cNvSpPr>
          <a:spLocks noChangeShapeType="1"/>
        </xdr:cNvSpPr>
      </xdr:nvSpPr>
      <xdr:spPr bwMode="auto">
        <a:xfrm>
          <a:off x="1581150" y="39528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23</xdr:row>
      <xdr:rowOff>85725</xdr:rowOff>
    </xdr:from>
    <xdr:to>
      <xdr:col>3</xdr:col>
      <xdr:colOff>0</xdr:colOff>
      <xdr:row>23</xdr:row>
      <xdr:rowOff>85725</xdr:rowOff>
    </xdr:to>
    <xdr:sp macro="" textlink="">
      <xdr:nvSpPr>
        <xdr:cNvPr id="13584" name="Line 7">
          <a:extLst>
            <a:ext uri="{FF2B5EF4-FFF2-40B4-BE49-F238E27FC236}">
              <a16:creationId xmlns:a16="http://schemas.microsoft.com/office/drawing/2014/main" id="{E6253F11-E044-4185-86BB-E2FD6EC011D7}"/>
            </a:ext>
          </a:extLst>
        </xdr:cNvPr>
        <xdr:cNvSpPr>
          <a:spLocks noChangeShapeType="1"/>
        </xdr:cNvSpPr>
      </xdr:nvSpPr>
      <xdr:spPr bwMode="auto">
        <a:xfrm>
          <a:off x="1590675" y="420052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</xdr:row>
      <xdr:rowOff>28575</xdr:rowOff>
    </xdr:from>
    <xdr:to>
      <xdr:col>3</xdr:col>
      <xdr:colOff>0</xdr:colOff>
      <xdr:row>7</xdr:row>
      <xdr:rowOff>0</xdr:rowOff>
    </xdr:to>
    <xdr:sp macro="" textlink="">
      <xdr:nvSpPr>
        <xdr:cNvPr id="13585" name="Rectangle 8">
          <a:extLst>
            <a:ext uri="{FF2B5EF4-FFF2-40B4-BE49-F238E27FC236}">
              <a16:creationId xmlns:a16="http://schemas.microsoft.com/office/drawing/2014/main" id="{BC0916B4-413F-4BA2-9606-7BEB3A9E3199}"/>
            </a:ext>
          </a:extLst>
        </xdr:cNvPr>
        <xdr:cNvSpPr>
          <a:spLocks noChangeArrowheads="1"/>
        </xdr:cNvSpPr>
      </xdr:nvSpPr>
      <xdr:spPr bwMode="auto">
        <a:xfrm>
          <a:off x="1152525" y="1390650"/>
          <a:ext cx="657225" cy="180975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31750</xdr:colOff>
      <xdr:row>23</xdr:row>
      <xdr:rowOff>117475</xdr:rowOff>
    </xdr:from>
    <xdr:to>
      <xdr:col>8</xdr:col>
      <xdr:colOff>457224</xdr:colOff>
      <xdr:row>35</xdr:row>
      <xdr:rowOff>117475</xdr:rowOff>
    </xdr:to>
    <xdr:sp macro="" textlink="">
      <xdr:nvSpPr>
        <xdr:cNvPr id="13352" name="Text Box 40">
          <a:extLst>
            <a:ext uri="{FF2B5EF4-FFF2-40B4-BE49-F238E27FC236}">
              <a16:creationId xmlns:a16="http://schemas.microsoft.com/office/drawing/2014/main" id="{D590C86D-6940-41BF-BB82-B94FD45437B6}"/>
            </a:ext>
          </a:extLst>
        </xdr:cNvPr>
        <xdr:cNvSpPr txBox="1">
          <a:spLocks noChangeArrowheads="1"/>
        </xdr:cNvSpPr>
      </xdr:nvSpPr>
      <xdr:spPr bwMode="auto">
        <a:xfrm>
          <a:off x="5346700" y="4419600"/>
          <a:ext cx="571500" cy="20320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Note - these 3 QALY cells now live -- linked to QALY sheet.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85725</xdr:rowOff>
    </xdr:from>
    <xdr:to>
      <xdr:col>1</xdr:col>
      <xdr:colOff>47625</xdr:colOff>
      <xdr:row>19</xdr:row>
      <xdr:rowOff>66675</xdr:rowOff>
    </xdr:to>
    <xdr:sp macro="" textlink="">
      <xdr:nvSpPr>
        <xdr:cNvPr id="14572" name="Rectangle 1">
          <a:extLst>
            <a:ext uri="{FF2B5EF4-FFF2-40B4-BE49-F238E27FC236}">
              <a16:creationId xmlns:a16="http://schemas.microsoft.com/office/drawing/2014/main" id="{1ED4CAAD-1541-44F6-9CDF-BCFED4B02531}"/>
            </a:ext>
          </a:extLst>
        </xdr:cNvPr>
        <xdr:cNvSpPr>
          <a:spLocks noChangeArrowheads="1"/>
        </xdr:cNvSpPr>
      </xdr:nvSpPr>
      <xdr:spPr bwMode="auto">
        <a:xfrm>
          <a:off x="419100" y="3371850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5</xdr:row>
      <xdr:rowOff>85725</xdr:rowOff>
    </xdr:from>
    <xdr:to>
      <xdr:col>3</xdr:col>
      <xdr:colOff>57150</xdr:colOff>
      <xdr:row>6</xdr:row>
      <xdr:rowOff>76200</xdr:rowOff>
    </xdr:to>
    <xdr:sp macro="" textlink="">
      <xdr:nvSpPr>
        <xdr:cNvPr id="14573" name="Oval 2">
          <a:extLst>
            <a:ext uri="{FF2B5EF4-FFF2-40B4-BE49-F238E27FC236}">
              <a16:creationId xmlns:a16="http://schemas.microsoft.com/office/drawing/2014/main" id="{6455E5A6-AFFD-42DB-B378-B1756C95AC73}"/>
            </a:ext>
          </a:extLst>
        </xdr:cNvPr>
        <xdr:cNvSpPr>
          <a:spLocks noChangeArrowheads="1"/>
        </xdr:cNvSpPr>
      </xdr:nvSpPr>
      <xdr:spPr bwMode="auto">
        <a:xfrm>
          <a:off x="1743075" y="12858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8</xdr:row>
      <xdr:rowOff>85725</xdr:rowOff>
    </xdr:from>
    <xdr:to>
      <xdr:col>2</xdr:col>
      <xdr:colOff>57150</xdr:colOff>
      <xdr:row>9</xdr:row>
      <xdr:rowOff>76200</xdr:rowOff>
    </xdr:to>
    <xdr:sp macro="" textlink="">
      <xdr:nvSpPr>
        <xdr:cNvPr id="14574" name="Oval 3">
          <a:extLst>
            <a:ext uri="{FF2B5EF4-FFF2-40B4-BE49-F238E27FC236}">
              <a16:creationId xmlns:a16="http://schemas.microsoft.com/office/drawing/2014/main" id="{60102FA1-6B7F-49B9-A245-7F556BA639B0}"/>
            </a:ext>
          </a:extLst>
        </xdr:cNvPr>
        <xdr:cNvSpPr>
          <a:spLocks noChangeArrowheads="1"/>
        </xdr:cNvSpPr>
      </xdr:nvSpPr>
      <xdr:spPr bwMode="auto">
        <a:xfrm>
          <a:off x="1057275" y="1809750"/>
          <a:ext cx="1333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25</xdr:row>
      <xdr:rowOff>85725</xdr:rowOff>
    </xdr:from>
    <xdr:to>
      <xdr:col>3</xdr:col>
      <xdr:colOff>57150</xdr:colOff>
      <xdr:row>26</xdr:row>
      <xdr:rowOff>85725</xdr:rowOff>
    </xdr:to>
    <xdr:sp macro="" textlink="">
      <xdr:nvSpPr>
        <xdr:cNvPr id="14575" name="Oval 4">
          <a:extLst>
            <a:ext uri="{FF2B5EF4-FFF2-40B4-BE49-F238E27FC236}">
              <a16:creationId xmlns:a16="http://schemas.microsoft.com/office/drawing/2014/main" id="{E6274233-C18E-45AC-8632-4CB8EF3AED5D}"/>
            </a:ext>
          </a:extLst>
        </xdr:cNvPr>
        <xdr:cNvSpPr>
          <a:spLocks noChangeArrowheads="1"/>
        </xdr:cNvSpPr>
      </xdr:nvSpPr>
      <xdr:spPr bwMode="auto">
        <a:xfrm>
          <a:off x="1743075" y="45243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76200</xdr:rowOff>
    </xdr:from>
    <xdr:to>
      <xdr:col>2</xdr:col>
      <xdr:colOff>66675</xdr:colOff>
      <xdr:row>30</xdr:row>
      <xdr:rowOff>85725</xdr:rowOff>
    </xdr:to>
    <xdr:sp macro="" textlink="">
      <xdr:nvSpPr>
        <xdr:cNvPr id="14576" name="Oval 5">
          <a:extLst>
            <a:ext uri="{FF2B5EF4-FFF2-40B4-BE49-F238E27FC236}">
              <a16:creationId xmlns:a16="http://schemas.microsoft.com/office/drawing/2014/main" id="{F220CE4A-442B-488C-9F47-BD796832032B}"/>
            </a:ext>
          </a:extLst>
        </xdr:cNvPr>
        <xdr:cNvSpPr>
          <a:spLocks noChangeArrowheads="1"/>
        </xdr:cNvSpPr>
      </xdr:nvSpPr>
      <xdr:spPr bwMode="auto">
        <a:xfrm>
          <a:off x="1066800" y="5133975"/>
          <a:ext cx="1333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22</xdr:row>
      <xdr:rowOff>0</xdr:rowOff>
    </xdr:from>
    <xdr:to>
      <xdr:col>2</xdr:col>
      <xdr:colOff>447675</xdr:colOff>
      <xdr:row>23</xdr:row>
      <xdr:rowOff>85725</xdr:rowOff>
    </xdr:to>
    <xdr:sp macro="" textlink="">
      <xdr:nvSpPr>
        <xdr:cNvPr id="14577" name="Line 6">
          <a:extLst>
            <a:ext uri="{FF2B5EF4-FFF2-40B4-BE49-F238E27FC236}">
              <a16:creationId xmlns:a16="http://schemas.microsoft.com/office/drawing/2014/main" id="{8697B585-E4A3-466C-B15B-E62C833E25E1}"/>
            </a:ext>
          </a:extLst>
        </xdr:cNvPr>
        <xdr:cNvSpPr>
          <a:spLocks noChangeShapeType="1"/>
        </xdr:cNvSpPr>
      </xdr:nvSpPr>
      <xdr:spPr bwMode="auto">
        <a:xfrm>
          <a:off x="1581150" y="39528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23</xdr:row>
      <xdr:rowOff>85725</xdr:rowOff>
    </xdr:from>
    <xdr:to>
      <xdr:col>3</xdr:col>
      <xdr:colOff>0</xdr:colOff>
      <xdr:row>23</xdr:row>
      <xdr:rowOff>85725</xdr:rowOff>
    </xdr:to>
    <xdr:sp macro="" textlink="">
      <xdr:nvSpPr>
        <xdr:cNvPr id="14578" name="Line 7">
          <a:extLst>
            <a:ext uri="{FF2B5EF4-FFF2-40B4-BE49-F238E27FC236}">
              <a16:creationId xmlns:a16="http://schemas.microsoft.com/office/drawing/2014/main" id="{7910F86B-41AF-46BC-8694-88FA40D1A6DA}"/>
            </a:ext>
          </a:extLst>
        </xdr:cNvPr>
        <xdr:cNvSpPr>
          <a:spLocks noChangeShapeType="1"/>
        </xdr:cNvSpPr>
      </xdr:nvSpPr>
      <xdr:spPr bwMode="auto">
        <a:xfrm>
          <a:off x="1590675" y="420052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</xdr:row>
      <xdr:rowOff>28575</xdr:rowOff>
    </xdr:from>
    <xdr:to>
      <xdr:col>3</xdr:col>
      <xdr:colOff>0</xdr:colOff>
      <xdr:row>7</xdr:row>
      <xdr:rowOff>0</xdr:rowOff>
    </xdr:to>
    <xdr:sp macro="" textlink="">
      <xdr:nvSpPr>
        <xdr:cNvPr id="14579" name="Rectangle 8">
          <a:extLst>
            <a:ext uri="{FF2B5EF4-FFF2-40B4-BE49-F238E27FC236}">
              <a16:creationId xmlns:a16="http://schemas.microsoft.com/office/drawing/2014/main" id="{636BA966-781B-45C6-9D55-2D6DF9DA8A68}"/>
            </a:ext>
          </a:extLst>
        </xdr:cNvPr>
        <xdr:cNvSpPr>
          <a:spLocks noChangeArrowheads="1"/>
        </xdr:cNvSpPr>
      </xdr:nvSpPr>
      <xdr:spPr bwMode="auto">
        <a:xfrm>
          <a:off x="1152525" y="1390650"/>
          <a:ext cx="657225" cy="180975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85725</xdr:rowOff>
    </xdr:from>
    <xdr:to>
      <xdr:col>1</xdr:col>
      <xdr:colOff>47625</xdr:colOff>
      <xdr:row>19</xdr:row>
      <xdr:rowOff>66675</xdr:rowOff>
    </xdr:to>
    <xdr:sp macro="" textlink="">
      <xdr:nvSpPr>
        <xdr:cNvPr id="15595" name="Rectangle 1">
          <a:extLst>
            <a:ext uri="{FF2B5EF4-FFF2-40B4-BE49-F238E27FC236}">
              <a16:creationId xmlns:a16="http://schemas.microsoft.com/office/drawing/2014/main" id="{9571D31A-D33A-464E-A4E8-7B72D15990A2}"/>
            </a:ext>
          </a:extLst>
        </xdr:cNvPr>
        <xdr:cNvSpPr>
          <a:spLocks noChangeArrowheads="1"/>
        </xdr:cNvSpPr>
      </xdr:nvSpPr>
      <xdr:spPr bwMode="auto">
        <a:xfrm>
          <a:off x="419100" y="3371850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5</xdr:row>
      <xdr:rowOff>85725</xdr:rowOff>
    </xdr:from>
    <xdr:to>
      <xdr:col>3</xdr:col>
      <xdr:colOff>57150</xdr:colOff>
      <xdr:row>6</xdr:row>
      <xdr:rowOff>76200</xdr:rowOff>
    </xdr:to>
    <xdr:sp macro="" textlink="">
      <xdr:nvSpPr>
        <xdr:cNvPr id="15596" name="Oval 2">
          <a:extLst>
            <a:ext uri="{FF2B5EF4-FFF2-40B4-BE49-F238E27FC236}">
              <a16:creationId xmlns:a16="http://schemas.microsoft.com/office/drawing/2014/main" id="{4E71B2FC-7D65-479E-B9C2-F8BA563AD820}"/>
            </a:ext>
          </a:extLst>
        </xdr:cNvPr>
        <xdr:cNvSpPr>
          <a:spLocks noChangeArrowheads="1"/>
        </xdr:cNvSpPr>
      </xdr:nvSpPr>
      <xdr:spPr bwMode="auto">
        <a:xfrm>
          <a:off x="1743075" y="12858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8</xdr:row>
      <xdr:rowOff>85725</xdr:rowOff>
    </xdr:from>
    <xdr:to>
      <xdr:col>2</xdr:col>
      <xdr:colOff>57150</xdr:colOff>
      <xdr:row>9</xdr:row>
      <xdr:rowOff>76200</xdr:rowOff>
    </xdr:to>
    <xdr:sp macro="" textlink="">
      <xdr:nvSpPr>
        <xdr:cNvPr id="15597" name="Oval 3">
          <a:extLst>
            <a:ext uri="{FF2B5EF4-FFF2-40B4-BE49-F238E27FC236}">
              <a16:creationId xmlns:a16="http://schemas.microsoft.com/office/drawing/2014/main" id="{F8E75DCF-3868-46B2-A780-8C7ABCAD2079}"/>
            </a:ext>
          </a:extLst>
        </xdr:cNvPr>
        <xdr:cNvSpPr>
          <a:spLocks noChangeArrowheads="1"/>
        </xdr:cNvSpPr>
      </xdr:nvSpPr>
      <xdr:spPr bwMode="auto">
        <a:xfrm>
          <a:off x="1057275" y="1809750"/>
          <a:ext cx="1333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25</xdr:row>
      <xdr:rowOff>85725</xdr:rowOff>
    </xdr:from>
    <xdr:to>
      <xdr:col>3</xdr:col>
      <xdr:colOff>57150</xdr:colOff>
      <xdr:row>26</xdr:row>
      <xdr:rowOff>85725</xdr:rowOff>
    </xdr:to>
    <xdr:sp macro="" textlink="">
      <xdr:nvSpPr>
        <xdr:cNvPr id="15598" name="Oval 4">
          <a:extLst>
            <a:ext uri="{FF2B5EF4-FFF2-40B4-BE49-F238E27FC236}">
              <a16:creationId xmlns:a16="http://schemas.microsoft.com/office/drawing/2014/main" id="{A58345AA-58C5-45DD-85EE-3399CB62C3FA}"/>
            </a:ext>
          </a:extLst>
        </xdr:cNvPr>
        <xdr:cNvSpPr>
          <a:spLocks noChangeArrowheads="1"/>
        </xdr:cNvSpPr>
      </xdr:nvSpPr>
      <xdr:spPr bwMode="auto">
        <a:xfrm>
          <a:off x="1743075" y="4524375"/>
          <a:ext cx="1238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76200</xdr:rowOff>
    </xdr:from>
    <xdr:to>
      <xdr:col>2</xdr:col>
      <xdr:colOff>66675</xdr:colOff>
      <xdr:row>30</xdr:row>
      <xdr:rowOff>85725</xdr:rowOff>
    </xdr:to>
    <xdr:sp macro="" textlink="">
      <xdr:nvSpPr>
        <xdr:cNvPr id="15599" name="Oval 5">
          <a:extLst>
            <a:ext uri="{FF2B5EF4-FFF2-40B4-BE49-F238E27FC236}">
              <a16:creationId xmlns:a16="http://schemas.microsoft.com/office/drawing/2014/main" id="{33538C55-8BE6-4560-A489-CF990D65D06A}"/>
            </a:ext>
          </a:extLst>
        </xdr:cNvPr>
        <xdr:cNvSpPr>
          <a:spLocks noChangeArrowheads="1"/>
        </xdr:cNvSpPr>
      </xdr:nvSpPr>
      <xdr:spPr bwMode="auto">
        <a:xfrm>
          <a:off x="1066800" y="5133975"/>
          <a:ext cx="1333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22</xdr:row>
      <xdr:rowOff>0</xdr:rowOff>
    </xdr:from>
    <xdr:to>
      <xdr:col>2</xdr:col>
      <xdr:colOff>447675</xdr:colOff>
      <xdr:row>23</xdr:row>
      <xdr:rowOff>85725</xdr:rowOff>
    </xdr:to>
    <xdr:sp macro="" textlink="">
      <xdr:nvSpPr>
        <xdr:cNvPr id="15600" name="Line 6">
          <a:extLst>
            <a:ext uri="{FF2B5EF4-FFF2-40B4-BE49-F238E27FC236}">
              <a16:creationId xmlns:a16="http://schemas.microsoft.com/office/drawing/2014/main" id="{EEDBAF34-66D9-4CBC-A0CE-6D608832F117}"/>
            </a:ext>
          </a:extLst>
        </xdr:cNvPr>
        <xdr:cNvSpPr>
          <a:spLocks noChangeShapeType="1"/>
        </xdr:cNvSpPr>
      </xdr:nvSpPr>
      <xdr:spPr bwMode="auto">
        <a:xfrm>
          <a:off x="1581150" y="39528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23</xdr:row>
      <xdr:rowOff>85725</xdr:rowOff>
    </xdr:from>
    <xdr:to>
      <xdr:col>3</xdr:col>
      <xdr:colOff>0</xdr:colOff>
      <xdr:row>23</xdr:row>
      <xdr:rowOff>85725</xdr:rowOff>
    </xdr:to>
    <xdr:sp macro="" textlink="">
      <xdr:nvSpPr>
        <xdr:cNvPr id="15601" name="Line 7">
          <a:extLst>
            <a:ext uri="{FF2B5EF4-FFF2-40B4-BE49-F238E27FC236}">
              <a16:creationId xmlns:a16="http://schemas.microsoft.com/office/drawing/2014/main" id="{6EB846A3-7B38-413F-B5EA-54140CA061F1}"/>
            </a:ext>
          </a:extLst>
        </xdr:cNvPr>
        <xdr:cNvSpPr>
          <a:spLocks noChangeShapeType="1"/>
        </xdr:cNvSpPr>
      </xdr:nvSpPr>
      <xdr:spPr bwMode="auto">
        <a:xfrm>
          <a:off x="1590675" y="420052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</xdr:row>
      <xdr:rowOff>28575</xdr:rowOff>
    </xdr:from>
    <xdr:to>
      <xdr:col>3</xdr:col>
      <xdr:colOff>0</xdr:colOff>
      <xdr:row>7</xdr:row>
      <xdr:rowOff>0</xdr:rowOff>
    </xdr:to>
    <xdr:sp macro="" textlink="">
      <xdr:nvSpPr>
        <xdr:cNvPr id="15602" name="Rectangle 8">
          <a:extLst>
            <a:ext uri="{FF2B5EF4-FFF2-40B4-BE49-F238E27FC236}">
              <a16:creationId xmlns:a16="http://schemas.microsoft.com/office/drawing/2014/main" id="{D327BEA1-0B2D-49F6-B66B-31B2FFA2AD90}"/>
            </a:ext>
          </a:extLst>
        </xdr:cNvPr>
        <xdr:cNvSpPr>
          <a:spLocks noChangeArrowheads="1"/>
        </xdr:cNvSpPr>
      </xdr:nvSpPr>
      <xdr:spPr bwMode="auto">
        <a:xfrm>
          <a:off x="1152525" y="1390650"/>
          <a:ext cx="657225" cy="180975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47625</xdr:rowOff>
    </xdr:from>
    <xdr:to>
      <xdr:col>10</xdr:col>
      <xdr:colOff>95250</xdr:colOff>
      <xdr:row>25</xdr:row>
      <xdr:rowOff>0</xdr:rowOff>
    </xdr:to>
    <xdr:graphicFrame macro="">
      <xdr:nvGraphicFramePr>
        <xdr:cNvPr id="20507" name="Chart 1">
          <a:extLst>
            <a:ext uri="{FF2B5EF4-FFF2-40B4-BE49-F238E27FC236}">
              <a16:creationId xmlns:a16="http://schemas.microsoft.com/office/drawing/2014/main" id="{8B6EA6BB-336B-4B80-ADAB-C557C8CB2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0.13312</cdr:x>
      <cdr:y>0.77875</cdr:y>
    </cdr:from>
    <cdr:to>
      <cdr:x>0.15923</cdr:x>
      <cdr:y>0.8362</cdr:y>
    </cdr:to>
    <cdr:sp macro="" textlink="">
      <cdr:nvSpPr>
        <cdr:cNvPr id="2150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5974" y="2295239"/>
          <a:ext cx="177698" cy="164970"/>
        </a:xfrm>
        <a:prstGeom xmlns:a="http://schemas.openxmlformats.org/drawingml/2006/main" prst="rect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0</xdr:rowOff>
    </xdr:from>
    <xdr:to>
      <xdr:col>1</xdr:col>
      <xdr:colOff>47625</xdr:colOff>
      <xdr:row>0</xdr:row>
      <xdr:rowOff>0</xdr:rowOff>
    </xdr:to>
    <xdr:sp macro="" textlink="">
      <xdr:nvSpPr>
        <xdr:cNvPr id="16647" name="Rectangle 1">
          <a:extLst>
            <a:ext uri="{FF2B5EF4-FFF2-40B4-BE49-F238E27FC236}">
              <a16:creationId xmlns:a16="http://schemas.microsoft.com/office/drawing/2014/main" id="{6388F8C3-BB30-42A4-8CBD-9319D4FE31D8}"/>
            </a:ext>
          </a:extLst>
        </xdr:cNvPr>
        <xdr:cNvSpPr>
          <a:spLocks noChangeArrowheads="1"/>
        </xdr:cNvSpPr>
      </xdr:nvSpPr>
      <xdr:spPr bwMode="auto">
        <a:xfrm>
          <a:off x="419100" y="0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0</xdr:row>
      <xdr:rowOff>0</xdr:rowOff>
    </xdr:from>
    <xdr:to>
      <xdr:col>3</xdr:col>
      <xdr:colOff>57150</xdr:colOff>
      <xdr:row>0</xdr:row>
      <xdr:rowOff>0</xdr:rowOff>
    </xdr:to>
    <xdr:sp macro="" textlink="">
      <xdr:nvSpPr>
        <xdr:cNvPr id="16648" name="Oval 2">
          <a:extLst>
            <a:ext uri="{FF2B5EF4-FFF2-40B4-BE49-F238E27FC236}">
              <a16:creationId xmlns:a16="http://schemas.microsoft.com/office/drawing/2014/main" id="{6A5EBE13-4EA5-4869-B09C-553B942DF13F}"/>
            </a:ext>
          </a:extLst>
        </xdr:cNvPr>
        <xdr:cNvSpPr>
          <a:spLocks noChangeArrowheads="1"/>
        </xdr:cNvSpPr>
      </xdr:nvSpPr>
      <xdr:spPr bwMode="auto">
        <a:xfrm>
          <a:off x="1743075" y="0"/>
          <a:ext cx="3524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16649" name="Oval 3">
          <a:extLst>
            <a:ext uri="{FF2B5EF4-FFF2-40B4-BE49-F238E27FC236}">
              <a16:creationId xmlns:a16="http://schemas.microsoft.com/office/drawing/2014/main" id="{C3CBD9BE-57FF-4DBB-9167-6D6344A8F0FA}"/>
            </a:ext>
          </a:extLst>
        </xdr:cNvPr>
        <xdr:cNvSpPr>
          <a:spLocks noChangeArrowheads="1"/>
        </xdr:cNvSpPr>
      </xdr:nvSpPr>
      <xdr:spPr bwMode="auto">
        <a:xfrm>
          <a:off x="1057275" y="0"/>
          <a:ext cx="13335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0</xdr:row>
      <xdr:rowOff>0</xdr:rowOff>
    </xdr:from>
    <xdr:to>
      <xdr:col>3</xdr:col>
      <xdr:colOff>57150</xdr:colOff>
      <xdr:row>0</xdr:row>
      <xdr:rowOff>0</xdr:rowOff>
    </xdr:to>
    <xdr:sp macro="" textlink="">
      <xdr:nvSpPr>
        <xdr:cNvPr id="16650" name="Oval 4">
          <a:extLst>
            <a:ext uri="{FF2B5EF4-FFF2-40B4-BE49-F238E27FC236}">
              <a16:creationId xmlns:a16="http://schemas.microsoft.com/office/drawing/2014/main" id="{11F982B7-BCDF-4C81-AD2B-18271E7EE80F}"/>
            </a:ext>
          </a:extLst>
        </xdr:cNvPr>
        <xdr:cNvSpPr>
          <a:spLocks noChangeArrowheads="1"/>
        </xdr:cNvSpPr>
      </xdr:nvSpPr>
      <xdr:spPr bwMode="auto">
        <a:xfrm>
          <a:off x="1743075" y="0"/>
          <a:ext cx="3524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0</xdr:row>
      <xdr:rowOff>0</xdr:rowOff>
    </xdr:from>
    <xdr:to>
      <xdr:col>2</xdr:col>
      <xdr:colOff>66675</xdr:colOff>
      <xdr:row>0</xdr:row>
      <xdr:rowOff>0</xdr:rowOff>
    </xdr:to>
    <xdr:sp macro="" textlink="">
      <xdr:nvSpPr>
        <xdr:cNvPr id="16651" name="Oval 5">
          <a:extLst>
            <a:ext uri="{FF2B5EF4-FFF2-40B4-BE49-F238E27FC236}">
              <a16:creationId xmlns:a16="http://schemas.microsoft.com/office/drawing/2014/main" id="{56F84624-7422-4597-AF3E-FBBEE8376C9E}"/>
            </a:ext>
          </a:extLst>
        </xdr:cNvPr>
        <xdr:cNvSpPr>
          <a:spLocks noChangeArrowheads="1"/>
        </xdr:cNvSpPr>
      </xdr:nvSpPr>
      <xdr:spPr bwMode="auto">
        <a:xfrm>
          <a:off x="1066800" y="0"/>
          <a:ext cx="13335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0</xdr:row>
      <xdr:rowOff>0</xdr:rowOff>
    </xdr:from>
    <xdr:to>
      <xdr:col>2</xdr:col>
      <xdr:colOff>447675</xdr:colOff>
      <xdr:row>0</xdr:row>
      <xdr:rowOff>0</xdr:rowOff>
    </xdr:to>
    <xdr:sp macro="" textlink="">
      <xdr:nvSpPr>
        <xdr:cNvPr id="16652" name="Line 6">
          <a:extLst>
            <a:ext uri="{FF2B5EF4-FFF2-40B4-BE49-F238E27FC236}">
              <a16:creationId xmlns:a16="http://schemas.microsoft.com/office/drawing/2014/main" id="{0B3F6839-D4EB-44F6-A2D1-3DD78699A97E}"/>
            </a:ext>
          </a:extLst>
        </xdr:cNvPr>
        <xdr:cNvSpPr>
          <a:spLocks noChangeShapeType="1"/>
        </xdr:cNvSpPr>
      </xdr:nvSpPr>
      <xdr:spPr bwMode="auto">
        <a:xfrm>
          <a:off x="1581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11</xdr:col>
      <xdr:colOff>704850</xdr:colOff>
      <xdr:row>0</xdr:row>
      <xdr:rowOff>0</xdr:rowOff>
    </xdr:to>
    <xdr:graphicFrame macro="">
      <xdr:nvGraphicFramePr>
        <xdr:cNvPr id="16653" name="Chart 7">
          <a:extLst>
            <a:ext uri="{FF2B5EF4-FFF2-40B4-BE49-F238E27FC236}">
              <a16:creationId xmlns:a16="http://schemas.microsoft.com/office/drawing/2014/main" id="{94A96501-C8D9-4A4E-B7C4-98E725C5C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295275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16654" name="Chart 8">
          <a:extLst>
            <a:ext uri="{FF2B5EF4-FFF2-40B4-BE49-F238E27FC236}">
              <a16:creationId xmlns:a16="http://schemas.microsoft.com/office/drawing/2014/main" id="{C0276415-DC6B-42B0-8FE7-474DF83B8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6655" name="Rectangle 9">
          <a:extLst>
            <a:ext uri="{FF2B5EF4-FFF2-40B4-BE49-F238E27FC236}">
              <a16:creationId xmlns:a16="http://schemas.microsoft.com/office/drawing/2014/main" id="{9A79CD47-DC2E-4DE3-8450-ADC0E4DA70E5}"/>
            </a:ext>
          </a:extLst>
        </xdr:cNvPr>
        <xdr:cNvSpPr>
          <a:spLocks noChangeArrowheads="1"/>
        </xdr:cNvSpPr>
      </xdr:nvSpPr>
      <xdr:spPr bwMode="auto">
        <a:xfrm>
          <a:off x="1152525" y="0"/>
          <a:ext cx="885825" cy="0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7</xdr:row>
      <xdr:rowOff>57150</xdr:rowOff>
    </xdr:from>
    <xdr:to>
      <xdr:col>11</xdr:col>
      <xdr:colOff>228600</xdr:colOff>
      <xdr:row>24</xdr:row>
      <xdr:rowOff>85725</xdr:rowOff>
    </xdr:to>
    <xdr:graphicFrame macro="">
      <xdr:nvGraphicFramePr>
        <xdr:cNvPr id="16656" name="Chart 10">
          <a:extLst>
            <a:ext uri="{FF2B5EF4-FFF2-40B4-BE49-F238E27FC236}">
              <a16:creationId xmlns:a16="http://schemas.microsoft.com/office/drawing/2014/main" id="{9FBB870E-A8E7-4755-A91D-19BF9A476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0.46329</cdr:x>
      <cdr:y>0.45776</cdr:y>
    </cdr:from>
    <cdr:to>
      <cdr:x>0.49261</cdr:x>
      <cdr:y>0.6819</cdr:y>
    </cdr:to>
    <cdr:sp macro="" textlink="">
      <cdr:nvSpPr>
        <cdr:cNvPr id="1740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3133" y="337185"/>
          <a:ext cx="203997" cy="16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0.39513</cdr:x>
      <cdr:y>0.45453</cdr:y>
    </cdr:from>
    <cdr:to>
      <cdr:x>0.42153</cdr:x>
      <cdr:y>0.74763</cdr:y>
    </cdr:to>
    <cdr:sp macro="" textlink="">
      <cdr:nvSpPr>
        <cdr:cNvPr id="1843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094" y="334804"/>
          <a:ext cx="215624" cy="215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  <cdr:relSizeAnchor xmlns:cdr="http://schemas.openxmlformats.org/drawingml/2006/chartDrawing">
    <cdr:from>
      <cdr:x>0.08077</cdr:x>
      <cdr:y>0.68987</cdr:y>
    </cdr:from>
    <cdr:to>
      <cdr:x>0.10248</cdr:x>
      <cdr:y>0.87953</cdr:y>
    </cdr:to>
    <cdr:sp macro="" textlink="">
      <cdr:nvSpPr>
        <cdr:cNvPr id="18434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456" y="508159"/>
          <a:ext cx="166012" cy="139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  <cdr:relSizeAnchor xmlns:cdr="http://schemas.openxmlformats.org/drawingml/2006/chartDrawing">
    <cdr:from>
      <cdr:x>0.69148</cdr:x>
      <cdr:y>0.5056</cdr:y>
    </cdr:from>
    <cdr:to>
      <cdr:x>0.71245</cdr:x>
      <cdr:y>0.72974</cdr:y>
    </cdr:to>
    <cdr:sp macro="" textlink="">
      <cdr:nvSpPr>
        <cdr:cNvPr id="1843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159" y="372428"/>
          <a:ext cx="166011" cy="16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  <cdr:relSizeAnchor xmlns:cdr="http://schemas.openxmlformats.org/drawingml/2006/chartDrawing">
    <cdr:from>
      <cdr:x>0.69148</cdr:x>
      <cdr:y>0.5056</cdr:y>
    </cdr:from>
    <cdr:to>
      <cdr:x>0.71245</cdr:x>
      <cdr:y>0.72974</cdr:y>
    </cdr:to>
    <cdr:sp macro="" textlink="">
      <cdr:nvSpPr>
        <cdr:cNvPr id="18436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159" y="372428"/>
          <a:ext cx="166011" cy="16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zoomScale="95" workbookViewId="0">
      <pane ySplit="1" topLeftCell="A25" activePane="bottomLeft" state="frozen"/>
      <selection pane="bottomLeft" activeCell="C46" sqref="C46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0.140625" style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2.5703125" style="8" customWidth="1"/>
    <col min="9" max="9" width="4.140625" style="10" customWidth="1"/>
    <col min="10" max="16384" width="10.7109375" style="1"/>
  </cols>
  <sheetData>
    <row r="1" spans="2:9" s="7" customFormat="1" ht="41.25" customHeight="1">
      <c r="E1" s="11"/>
      <c r="F1" s="7" t="s">
        <v>0</v>
      </c>
      <c r="H1" s="7" t="s">
        <v>13</v>
      </c>
      <c r="I1" s="21"/>
    </row>
    <row r="2" spans="2:9" ht="12.75">
      <c r="I2" s="21"/>
    </row>
    <row r="3" spans="2:9" ht="13.5" thickBot="1">
      <c r="D3" s="3" t="s">
        <v>1</v>
      </c>
      <c r="H3" s="8" t="s">
        <v>2</v>
      </c>
      <c r="I3" s="21"/>
    </row>
    <row r="4" spans="2:9" ht="15.75" customHeight="1" thickBot="1">
      <c r="D4" s="5">
        <v>0.2</v>
      </c>
      <c r="E4" s="12"/>
      <c r="F4" s="9">
        <f>D4*C7</f>
        <v>0</v>
      </c>
      <c r="H4" s="34"/>
      <c r="I4" s="21"/>
    </row>
    <row r="5" spans="2:9" ht="12.75">
      <c r="D5" s="2"/>
      <c r="I5" s="21"/>
    </row>
    <row r="6" spans="2:9" ht="12.75">
      <c r="C6" s="3" t="s">
        <v>3</v>
      </c>
      <c r="D6" s="2"/>
      <c r="I6" s="21"/>
    </row>
    <row r="7" spans="2:9" ht="17.100000000000001" customHeight="1" thickBot="1">
      <c r="C7" s="24"/>
      <c r="D7" s="2"/>
      <c r="I7" s="21"/>
    </row>
    <row r="8" spans="2:9" ht="12.75">
      <c r="C8" s="2"/>
      <c r="D8" s="2"/>
      <c r="I8" s="21"/>
    </row>
    <row r="9" spans="2:9" ht="13.5" thickBot="1">
      <c r="B9" s="3" t="s">
        <v>4</v>
      </c>
      <c r="C9" s="2"/>
      <c r="D9" s="4" t="s">
        <v>5</v>
      </c>
      <c r="H9" s="8" t="s">
        <v>6</v>
      </c>
      <c r="I9" s="21"/>
    </row>
    <row r="10" spans="2:9" ht="15" customHeight="1" thickBot="1">
      <c r="B10" s="2"/>
      <c r="C10" s="2"/>
      <c r="D10" s="6">
        <f>1-D4</f>
        <v>0.8</v>
      </c>
      <c r="E10" s="12"/>
      <c r="F10" s="9">
        <f>D10*C7</f>
        <v>0</v>
      </c>
      <c r="H10" s="34"/>
      <c r="I10" s="21"/>
    </row>
    <row r="11" spans="2:9" ht="12.75">
      <c r="B11" s="2"/>
      <c r="C11" s="2"/>
      <c r="D11" s="6"/>
      <c r="E11" s="12"/>
      <c r="H11" s="13"/>
      <c r="I11" s="21"/>
    </row>
    <row r="12" spans="2:9" ht="12.75">
      <c r="B12" s="2"/>
      <c r="C12" s="2"/>
      <c r="D12" s="6"/>
      <c r="E12" s="12"/>
      <c r="G12" s="25" t="str">
        <f>IF(H15&gt;H10," ","Error check: Do you want H15 &gt; H10?")</f>
        <v>Error check: Do you want H15 &gt; H10?</v>
      </c>
      <c r="H12" s="13"/>
      <c r="I12" s="21"/>
    </row>
    <row r="13" spans="2:9" ht="12.75">
      <c r="B13" s="2"/>
      <c r="C13" s="2"/>
      <c r="F13"/>
      <c r="G13"/>
      <c r="I13" s="21"/>
    </row>
    <row r="14" spans="2:9" ht="13.5" thickBot="1">
      <c r="B14" s="2"/>
      <c r="C14" s="4" t="s">
        <v>7</v>
      </c>
      <c r="H14" s="8" t="s">
        <v>17</v>
      </c>
      <c r="I14" s="21"/>
    </row>
    <row r="15" spans="2:9" ht="15" customHeight="1" thickBot="1">
      <c r="B15" s="2"/>
      <c r="C15" s="6">
        <f>1-C7</f>
        <v>1</v>
      </c>
      <c r="F15" s="9">
        <f>C15</f>
        <v>1</v>
      </c>
      <c r="H15" s="34"/>
      <c r="I15" s="21"/>
    </row>
    <row r="16" spans="2:9" ht="5.0999999999999996" customHeight="1" thickBot="1">
      <c r="B16" s="2"/>
      <c r="F16"/>
      <c r="G16"/>
      <c r="H16"/>
      <c r="I16" s="21"/>
    </row>
    <row r="17" spans="1:9" ht="13.5" thickBot="1">
      <c r="B17" s="2"/>
      <c r="F17" s="19">
        <f>SUM(F4:F15)</f>
        <v>1</v>
      </c>
      <c r="G17" s="19"/>
      <c r="H17" s="29">
        <f>$F4*H$4+$F10*H$10+$F15*H$15</f>
        <v>0</v>
      </c>
      <c r="I17" s="21"/>
    </row>
    <row r="18" spans="1:9" ht="12.75">
      <c r="B18" s="2"/>
      <c r="F18" s="26"/>
      <c r="I18" s="21"/>
    </row>
    <row r="19" spans="1:9" ht="12.75">
      <c r="A19" s="22" t="s">
        <v>8</v>
      </c>
      <c r="B19" s="2"/>
      <c r="I19" s="21"/>
    </row>
    <row r="20" spans="1:9" ht="12.75">
      <c r="A20" s="23" t="s">
        <v>9</v>
      </c>
      <c r="B20" s="2"/>
      <c r="C20"/>
      <c r="D20"/>
      <c r="I20" s="21"/>
    </row>
    <row r="21" spans="1:9" ht="13.5" thickBot="1">
      <c r="B21" s="2"/>
      <c r="C21" s="15" t="s">
        <v>10</v>
      </c>
      <c r="D21" s="16"/>
      <c r="I21" s="21"/>
    </row>
    <row r="22" spans="1:9" ht="13.5" thickBot="1">
      <c r="B22" s="2"/>
      <c r="C22" s="33"/>
      <c r="D22" s="17"/>
      <c r="I22" s="21"/>
    </row>
    <row r="23" spans="1:9" ht="13.5" thickBot="1">
      <c r="B23" s="2"/>
      <c r="D23" s="3" t="s">
        <v>1</v>
      </c>
      <c r="H23" s="8" t="s">
        <v>2</v>
      </c>
      <c r="I23" s="21"/>
    </row>
    <row r="24" spans="1:9" ht="13.5" thickBot="1">
      <c r="B24" s="2"/>
      <c r="D24" s="5">
        <f>D4*(1-C22)</f>
        <v>0.2</v>
      </c>
      <c r="E24" s="12"/>
      <c r="F24" s="27">
        <f>D24*C27</f>
        <v>8.0000000000000013E-6</v>
      </c>
      <c r="H24" s="34"/>
      <c r="I24" s="21"/>
    </row>
    <row r="25" spans="1:9" ht="12.75">
      <c r="B25" s="2"/>
      <c r="D25" s="2"/>
      <c r="I25" s="21"/>
    </row>
    <row r="26" spans="1:9" ht="12.75">
      <c r="B26" s="2"/>
      <c r="C26" s="3" t="s">
        <v>3</v>
      </c>
      <c r="D26" s="2"/>
      <c r="I26" s="21"/>
    </row>
    <row r="27" spans="1:9" ht="12.75">
      <c r="B27" s="2"/>
      <c r="C27" s="5">
        <f>C7+0.00004</f>
        <v>4.0000000000000003E-5</v>
      </c>
      <c r="D27" s="2"/>
      <c r="I27" s="21"/>
    </row>
    <row r="28" spans="1:9" ht="12.75">
      <c r="B28" s="2"/>
      <c r="C28" s="2"/>
      <c r="D28" s="2"/>
      <c r="I28" s="21"/>
    </row>
    <row r="29" spans="1:9" ht="13.5" thickBot="1">
      <c r="B29" s="2"/>
      <c r="C29" s="2"/>
      <c r="D29" s="4" t="s">
        <v>5</v>
      </c>
      <c r="H29" s="8" t="s">
        <v>6</v>
      </c>
      <c r="I29" s="21"/>
    </row>
    <row r="30" spans="1:9" ht="13.5" thickBot="1">
      <c r="B30" s="4" t="s">
        <v>11</v>
      </c>
      <c r="C30" s="2"/>
      <c r="D30" s="6">
        <f>1-D24</f>
        <v>0.8</v>
      </c>
      <c r="E30" s="12"/>
      <c r="F30" s="27">
        <f>D30*C27</f>
        <v>3.2000000000000005E-5</v>
      </c>
      <c r="H30" s="34"/>
      <c r="I30" s="21"/>
    </row>
    <row r="31" spans="1:9" ht="12.75">
      <c r="C31" s="2"/>
      <c r="D31" s="6"/>
      <c r="E31" s="12"/>
      <c r="H31" s="13"/>
      <c r="I31" s="21"/>
    </row>
    <row r="32" spans="1:9" ht="12.75">
      <c r="C32" s="2"/>
      <c r="D32" s="6"/>
      <c r="E32" s="12"/>
      <c r="H32" s="13"/>
      <c r="I32" s="21"/>
    </row>
    <row r="33" spans="3:9" ht="12.75">
      <c r="C33" s="2"/>
      <c r="I33" s="21"/>
    </row>
    <row r="34" spans="3:9" ht="12.75">
      <c r="C34" s="2"/>
      <c r="I34" s="21"/>
    </row>
    <row r="35" spans="3:9" ht="13.5" thickBot="1">
      <c r="C35" s="4" t="s">
        <v>7</v>
      </c>
      <c r="H35" s="8" t="s">
        <v>17</v>
      </c>
      <c r="I35" s="21"/>
    </row>
    <row r="36" spans="3:9" ht="13.5" thickBot="1">
      <c r="C36" s="6">
        <f>1-C27</f>
        <v>0.99995999999999996</v>
      </c>
      <c r="F36" s="9">
        <f>C36</f>
        <v>0.99995999999999996</v>
      </c>
      <c r="H36" s="34"/>
      <c r="I36" s="21"/>
    </row>
    <row r="37" spans="3:9" ht="6.75" customHeight="1" thickBot="1">
      <c r="H37" s="13"/>
      <c r="I37" s="21"/>
    </row>
    <row r="38" spans="3:9" ht="13.5" thickBot="1">
      <c r="C38"/>
      <c r="D38"/>
      <c r="E38"/>
      <c r="F38" s="19">
        <f>SUM(F24:F36)</f>
        <v>1</v>
      </c>
      <c r="G38" s="19"/>
      <c r="H38" s="29">
        <f>$F24*H$24+$F30*H$30+$F36*H$36</f>
        <v>0</v>
      </c>
      <c r="I38" s="21"/>
    </row>
    <row r="39" spans="3:9" ht="8.1" customHeight="1" thickBot="1">
      <c r="C39"/>
      <c r="D39"/>
      <c r="E39"/>
      <c r="F39" s="19"/>
      <c r="G39" s="19"/>
      <c r="H39" s="20"/>
      <c r="I39" s="21"/>
    </row>
    <row r="40" spans="3:9" ht="17.25" thickTop="1" thickBot="1">
      <c r="D40" s="18"/>
      <c r="F40" s="14" t="s">
        <v>12</v>
      </c>
      <c r="G40" s="14"/>
      <c r="H40" s="28">
        <f>H38-H17</f>
        <v>0</v>
      </c>
      <c r="I40" s="21"/>
    </row>
    <row r="41" spans="3:9" ht="15" customHeight="1" thickTop="1">
      <c r="D41" s="18"/>
      <c r="F41" s="14"/>
      <c r="G41" s="14"/>
      <c r="H41" s="30" t="s">
        <v>14</v>
      </c>
      <c r="I41" s="21"/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zoomScale="95" workbookViewId="0">
      <pane ySplit="1" topLeftCell="A2" activePane="bottomLeft" state="frozen"/>
      <selection pane="bottomLeft" activeCell="K27" sqref="K27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0.140625" style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2.5703125" style="8" customWidth="1"/>
    <col min="9" max="9" width="20.42578125" style="10" customWidth="1"/>
    <col min="10" max="16384" width="10.7109375" style="1"/>
  </cols>
  <sheetData>
    <row r="1" spans="2:12" s="7" customFormat="1" ht="41.25" customHeight="1">
      <c r="E1" s="11"/>
      <c r="F1" s="7" t="s">
        <v>0</v>
      </c>
      <c r="H1" s="7" t="s">
        <v>13</v>
      </c>
      <c r="I1" s="59"/>
      <c r="J1" s="60" t="s">
        <v>39</v>
      </c>
      <c r="K1" s="60" t="s">
        <v>40</v>
      </c>
      <c r="L1" s="7" t="s">
        <v>41</v>
      </c>
    </row>
    <row r="2" spans="2:12">
      <c r="I2" s="8"/>
      <c r="J2" s="61"/>
      <c r="K2" s="61"/>
    </row>
    <row r="3" spans="2:12" ht="12.75" thickBot="1">
      <c r="D3" s="3" t="s">
        <v>1</v>
      </c>
      <c r="H3" s="8" t="s">
        <v>2</v>
      </c>
      <c r="I3" s="8"/>
      <c r="J3" s="61"/>
      <c r="K3" s="61"/>
    </row>
    <row r="4" spans="2:12" ht="15.75" customHeight="1" thickBot="1">
      <c r="D4" s="5">
        <v>0.2</v>
      </c>
      <c r="E4" s="12"/>
      <c r="F4" s="9">
        <f>D4*C7</f>
        <v>2.5999999999999999E-3</v>
      </c>
      <c r="H4" s="34">
        <v>5.6536575665180031</v>
      </c>
      <c r="I4" s="14" t="s">
        <v>42</v>
      </c>
      <c r="J4" s="62">
        <f>J5+J6+J7</f>
        <v>21500</v>
      </c>
      <c r="K4" s="62">
        <f>K5+K6+K7</f>
        <v>80</v>
      </c>
      <c r="L4" s="62">
        <f>J4+K4</f>
        <v>21580</v>
      </c>
    </row>
    <row r="5" spans="2:12" ht="12.75" thickBot="1">
      <c r="D5" s="2"/>
      <c r="I5" s="63" t="s">
        <v>43</v>
      </c>
      <c r="J5" s="61">
        <v>500</v>
      </c>
      <c r="K5" s="61">
        <v>80</v>
      </c>
      <c r="L5" s="61">
        <f>J5+K5</f>
        <v>580</v>
      </c>
    </row>
    <row r="6" spans="2:12" ht="12.75" thickBot="1">
      <c r="C6" s="3" t="s">
        <v>3</v>
      </c>
      <c r="D6" s="2"/>
      <c r="I6" s="14" t="s">
        <v>44</v>
      </c>
      <c r="J6" s="64">
        <v>7000</v>
      </c>
      <c r="K6" s="65"/>
      <c r="L6" s="61">
        <f>J6+K6</f>
        <v>7000</v>
      </c>
    </row>
    <row r="7" spans="2:12" ht="17.100000000000001" customHeight="1" thickBot="1">
      <c r="C7" s="24">
        <v>1.2999999999999999E-2</v>
      </c>
      <c r="D7" s="2"/>
      <c r="I7" s="14" t="s">
        <v>45</v>
      </c>
      <c r="J7" s="61">
        <v>14000</v>
      </c>
      <c r="K7"/>
      <c r="L7" s="61">
        <f>J7+K7</f>
        <v>14000</v>
      </c>
    </row>
    <row r="8" spans="2:12">
      <c r="C8" s="2"/>
      <c r="D8" s="2"/>
      <c r="I8" s="8"/>
      <c r="J8" s="61"/>
      <c r="K8" s="61"/>
    </row>
    <row r="9" spans="2:12" ht="12.75" thickBot="1">
      <c r="B9" s="3" t="s">
        <v>4</v>
      </c>
      <c r="C9" s="2"/>
      <c r="D9" s="4" t="s">
        <v>5</v>
      </c>
      <c r="H9" s="8" t="s">
        <v>6</v>
      </c>
      <c r="I9" s="8"/>
      <c r="J9" s="61"/>
      <c r="K9" s="61"/>
    </row>
    <row r="10" spans="2:12" ht="15" customHeight="1" thickBot="1">
      <c r="B10" s="2"/>
      <c r="C10" s="2"/>
      <c r="D10" s="6">
        <f>1-D4</f>
        <v>0.8</v>
      </c>
      <c r="E10" s="12"/>
      <c r="F10" s="9">
        <f>D10*C7</f>
        <v>1.04E-2</v>
      </c>
      <c r="H10" s="34">
        <v>20.626760806042387</v>
      </c>
      <c r="I10" s="14" t="s">
        <v>42</v>
      </c>
      <c r="J10" s="62">
        <f>J11+J12+J13</f>
        <v>17500</v>
      </c>
      <c r="K10" s="62">
        <f>K11+K12+K13</f>
        <v>80</v>
      </c>
      <c r="L10" s="62">
        <f>J10+K10</f>
        <v>17580</v>
      </c>
    </row>
    <row r="11" spans="2:12">
      <c r="B11" s="2"/>
      <c r="C11" s="2"/>
      <c r="D11" s="6"/>
      <c r="E11" s="12"/>
      <c r="H11" s="13"/>
      <c r="I11" s="63" t="s">
        <v>43</v>
      </c>
      <c r="J11" s="61">
        <f>J$5</f>
        <v>500</v>
      </c>
      <c r="K11" s="61">
        <v>80</v>
      </c>
      <c r="L11" s="61">
        <f>J11+K11</f>
        <v>580</v>
      </c>
    </row>
    <row r="12" spans="2:12">
      <c r="B12" s="2"/>
      <c r="C12" s="2"/>
      <c r="D12" s="6"/>
      <c r="E12" s="12"/>
      <c r="G12" s="25" t="str">
        <f>IF(H15&gt;H10," ","Error check: Do you want H15 &gt; H10?")</f>
        <v xml:space="preserve"> </v>
      </c>
      <c r="H12" s="13"/>
      <c r="I12" s="14" t="s">
        <v>44</v>
      </c>
      <c r="J12" s="61">
        <f>J$6</f>
        <v>7000</v>
      </c>
      <c r="K12" s="61">
        <f>K$6</f>
        <v>0</v>
      </c>
      <c r="L12" s="61">
        <f>J12+K12</f>
        <v>7000</v>
      </c>
    </row>
    <row r="13" spans="2:12" ht="12.75">
      <c r="B13" s="2"/>
      <c r="C13" s="2"/>
      <c r="F13"/>
      <c r="G13"/>
      <c r="I13" s="14" t="s">
        <v>46</v>
      </c>
      <c r="J13" s="61">
        <v>10000</v>
      </c>
      <c r="K13" s="61">
        <v>0</v>
      </c>
      <c r="L13" s="61">
        <f>J13+K13</f>
        <v>10000</v>
      </c>
    </row>
    <row r="14" spans="2:12" ht="12.75" thickBot="1">
      <c r="B14" s="2"/>
      <c r="C14" s="4" t="s">
        <v>7</v>
      </c>
      <c r="H14" s="8" t="s">
        <v>17</v>
      </c>
      <c r="I14" s="8"/>
      <c r="J14" s="61"/>
      <c r="K14" s="61"/>
    </row>
    <row r="15" spans="2:12" ht="15" customHeight="1" thickBot="1">
      <c r="B15" s="2"/>
      <c r="C15" s="6">
        <f>1-C7</f>
        <v>0.98699999999999999</v>
      </c>
      <c r="F15" s="9">
        <f>C15</f>
        <v>0.98699999999999999</v>
      </c>
      <c r="H15" s="34">
        <v>22.572941319319273</v>
      </c>
      <c r="I15" s="13"/>
      <c r="J15" s="62">
        <v>0</v>
      </c>
      <c r="K15" s="62">
        <v>0</v>
      </c>
      <c r="L15" s="62">
        <f>J15+K15</f>
        <v>0</v>
      </c>
    </row>
    <row r="16" spans="2:12" ht="5.0999999999999996" customHeight="1" thickBot="1">
      <c r="B16" s="2"/>
      <c r="F16"/>
      <c r="G16"/>
      <c r="H16"/>
      <c r="I16"/>
      <c r="J16"/>
      <c r="K16"/>
      <c r="L16"/>
    </row>
    <row r="17" spans="1:12" ht="13.5" thickBot="1">
      <c r="B17" s="2"/>
      <c r="F17" s="19">
        <f>SUM(F4:F15)</f>
        <v>1</v>
      </c>
      <c r="G17" s="19"/>
      <c r="H17" s="29">
        <f>$F4*H$4+$F10*H$10+$F15*H$15</f>
        <v>22.508710904223911</v>
      </c>
      <c r="I17" s="66"/>
      <c r="J17" s="67">
        <f>$F4*J$4+$F10*J$10+$F15*J$15</f>
        <v>237.9</v>
      </c>
      <c r="K17" s="67">
        <f>$F4*K$4+$F10*K$10+$F15*K$15</f>
        <v>1.04</v>
      </c>
      <c r="L17" s="68">
        <f>$F4*L$4+$F10*L$10+$F15*L$15</f>
        <v>238.94</v>
      </c>
    </row>
    <row r="18" spans="1:12" ht="12.75">
      <c r="B18" s="2"/>
      <c r="F18" s="26"/>
      <c r="I18"/>
      <c r="J18"/>
      <c r="K18"/>
      <c r="L18"/>
    </row>
    <row r="19" spans="1:12" ht="12.75">
      <c r="A19" s="22" t="s">
        <v>8</v>
      </c>
      <c r="B19" s="2"/>
      <c r="I19"/>
      <c r="J19"/>
      <c r="K19"/>
      <c r="L19"/>
    </row>
    <row r="20" spans="1:12" ht="12.75">
      <c r="A20" s="23" t="s">
        <v>9</v>
      </c>
      <c r="B20" s="2"/>
      <c r="C20"/>
      <c r="D20"/>
      <c r="I20"/>
      <c r="J20"/>
      <c r="K20"/>
      <c r="L20"/>
    </row>
    <row r="21" spans="1:12" ht="13.5" thickBot="1">
      <c r="B21" s="2"/>
      <c r="C21" s="15" t="s">
        <v>10</v>
      </c>
      <c r="D21" s="16"/>
      <c r="I21"/>
      <c r="J21"/>
      <c r="K21"/>
      <c r="L21"/>
    </row>
    <row r="22" spans="1:12" ht="13.5" thickBot="1">
      <c r="B22" s="2"/>
      <c r="C22" s="33">
        <v>7.0000000000000007E-2</v>
      </c>
      <c r="D22" s="17"/>
      <c r="I22"/>
      <c r="J22"/>
      <c r="K22"/>
    </row>
    <row r="23" spans="1:12" ht="12.75" thickBot="1">
      <c r="B23" s="2"/>
      <c r="D23" s="3" t="s">
        <v>1</v>
      </c>
      <c r="H23" s="8" t="s">
        <v>2</v>
      </c>
      <c r="I23" s="8"/>
      <c r="J23" s="61"/>
      <c r="K23" s="61"/>
    </row>
    <row r="24" spans="1:12" ht="13.5" thickBot="1">
      <c r="B24" s="2"/>
      <c r="D24" s="5">
        <f>D4*(1-C22)</f>
        <v>0.186</v>
      </c>
      <c r="E24" s="12"/>
      <c r="F24" s="27">
        <f>D24*C27</f>
        <v>2.4254400000000001E-3</v>
      </c>
      <c r="H24" s="34">
        <f>'QALYs by outcome &amp; age'!C7</f>
        <v>5.6534253746813166</v>
      </c>
      <c r="I24" s="14" t="s">
        <v>42</v>
      </c>
      <c r="J24" s="62">
        <f>J25+J26+J27+J28</f>
        <v>21762.5</v>
      </c>
      <c r="K24" s="62">
        <f>K25+K26+K27+K28</f>
        <v>157</v>
      </c>
      <c r="L24" s="62">
        <f>L25+L26+L27+L28</f>
        <v>21919.5</v>
      </c>
    </row>
    <row r="25" spans="1:12">
      <c r="B25" s="2"/>
      <c r="D25" s="2"/>
      <c r="I25" s="63" t="s">
        <v>47</v>
      </c>
      <c r="J25" s="65">
        <v>250</v>
      </c>
      <c r="K25" s="65">
        <v>75</v>
      </c>
      <c r="L25" s="61">
        <f>J25+K25</f>
        <v>325</v>
      </c>
    </row>
    <row r="26" spans="1:12">
      <c r="B26" s="2"/>
      <c r="C26" s="3" t="s">
        <v>3</v>
      </c>
      <c r="D26" s="2"/>
      <c r="I26" s="63" t="s">
        <v>51</v>
      </c>
      <c r="J26" s="69">
        <f>J5+J38/2</f>
        <v>512.5</v>
      </c>
      <c r="K26" s="69">
        <f>K5+K38/2</f>
        <v>82</v>
      </c>
      <c r="L26" s="61">
        <f>J26+K26</f>
        <v>594.5</v>
      </c>
    </row>
    <row r="27" spans="1:12">
      <c r="B27" s="2"/>
      <c r="C27" s="5">
        <f>C7+0.00004</f>
        <v>1.304E-2</v>
      </c>
      <c r="D27" s="2"/>
      <c r="I27" s="14" t="s">
        <v>44</v>
      </c>
      <c r="J27" s="61">
        <f>J$6</f>
        <v>7000</v>
      </c>
      <c r="K27" s="61">
        <f>K$6</f>
        <v>0</v>
      </c>
      <c r="L27" s="61">
        <f>J27+K27</f>
        <v>7000</v>
      </c>
    </row>
    <row r="28" spans="1:12">
      <c r="B28" s="2"/>
      <c r="C28" s="2"/>
      <c r="D28" s="2"/>
      <c r="I28" s="14" t="s">
        <v>45</v>
      </c>
      <c r="J28" s="61">
        <f>J$7</f>
        <v>14000</v>
      </c>
      <c r="K28" s="61">
        <f>K$7</f>
        <v>0</v>
      </c>
      <c r="L28" s="61">
        <f>J28+K28</f>
        <v>14000</v>
      </c>
    </row>
    <row r="29" spans="1:12" ht="12.75" thickBot="1">
      <c r="B29" s="2"/>
      <c r="C29" s="2"/>
      <c r="D29" s="4" t="s">
        <v>5</v>
      </c>
      <c r="H29" s="8" t="s">
        <v>6</v>
      </c>
      <c r="I29" s="8"/>
      <c r="J29" s="61"/>
      <c r="K29" s="61"/>
    </row>
    <row r="30" spans="1:12" ht="13.5" thickBot="1">
      <c r="B30" s="4" t="s">
        <v>11</v>
      </c>
      <c r="C30" s="2"/>
      <c r="D30" s="6">
        <f>1-D24</f>
        <v>0.81400000000000006</v>
      </c>
      <c r="E30" s="12"/>
      <c r="F30" s="27">
        <f>D30*C27</f>
        <v>1.061456E-2</v>
      </c>
      <c r="H30" s="34">
        <f>'QALYs by outcome &amp; age'!D7</f>
        <v>20.6265286142057</v>
      </c>
      <c r="I30" s="14" t="s">
        <v>42</v>
      </c>
      <c r="J30" s="62">
        <f>J31+J32+J33+J34</f>
        <v>18012.5</v>
      </c>
      <c r="K30" s="62">
        <f>K31+K32+K33+K34</f>
        <v>232</v>
      </c>
      <c r="L30" s="62">
        <f>L31+L32+L33+L34</f>
        <v>18244.5</v>
      </c>
    </row>
    <row r="31" spans="1:12">
      <c r="C31" s="2"/>
      <c r="D31" s="6"/>
      <c r="E31" s="12"/>
      <c r="H31" s="13"/>
      <c r="I31" s="63" t="s">
        <v>48</v>
      </c>
      <c r="J31" s="65">
        <f>J37</f>
        <v>500</v>
      </c>
      <c r="K31" s="65">
        <f>K37</f>
        <v>150</v>
      </c>
      <c r="L31" s="61">
        <f>J31+K31</f>
        <v>650</v>
      </c>
    </row>
    <row r="32" spans="1:12">
      <c r="C32" s="2"/>
      <c r="D32" s="6"/>
      <c r="E32" s="12"/>
      <c r="H32" s="13"/>
      <c r="I32" s="63" t="s">
        <v>51</v>
      </c>
      <c r="J32" s="61">
        <f>J26</f>
        <v>512.5</v>
      </c>
      <c r="K32" s="61">
        <f>K26</f>
        <v>82</v>
      </c>
      <c r="L32" s="61">
        <f>J32+K32</f>
        <v>594.5</v>
      </c>
    </row>
    <row r="33" spans="3:12">
      <c r="C33" s="2"/>
      <c r="I33" s="14" t="s">
        <v>44</v>
      </c>
      <c r="J33" s="61">
        <f>J$6</f>
        <v>7000</v>
      </c>
      <c r="K33" s="61">
        <f>K$6</f>
        <v>0</v>
      </c>
      <c r="L33" s="61">
        <f>J33+K33</f>
        <v>7000</v>
      </c>
    </row>
    <row r="34" spans="3:12">
      <c r="C34" s="2"/>
      <c r="I34" s="14" t="s">
        <v>46</v>
      </c>
      <c r="J34" s="61">
        <f>J$13</f>
        <v>10000</v>
      </c>
      <c r="K34" s="61">
        <f>K$13</f>
        <v>0</v>
      </c>
      <c r="L34" s="61">
        <f>J34+K34</f>
        <v>10000</v>
      </c>
    </row>
    <row r="35" spans="3:12" ht="12.75" thickBot="1">
      <c r="C35" s="4" t="s">
        <v>7</v>
      </c>
      <c r="H35" s="8" t="s">
        <v>17</v>
      </c>
      <c r="I35" s="8"/>
      <c r="J35" s="61"/>
      <c r="K35" s="61"/>
    </row>
    <row r="36" spans="3:12" ht="13.5" thickBot="1">
      <c r="C36" s="6">
        <f>1-C27</f>
        <v>0.98695999999999995</v>
      </c>
      <c r="F36" s="9">
        <f>C36</f>
        <v>0.98695999999999995</v>
      </c>
      <c r="H36" s="34">
        <f>'QALYs by outcome &amp; age'!E7</f>
        <v>22.572510014927083</v>
      </c>
      <c r="I36" s="14" t="s">
        <v>42</v>
      </c>
      <c r="J36" s="62">
        <f>J37+J38</f>
        <v>525</v>
      </c>
      <c r="K36" s="62">
        <f>K37+K38</f>
        <v>154</v>
      </c>
      <c r="L36" s="62">
        <f>L37+L38</f>
        <v>679</v>
      </c>
    </row>
    <row r="37" spans="3:12" ht="13.5" customHeight="1" thickBot="1">
      <c r="H37" s="13"/>
      <c r="I37" s="63" t="s">
        <v>48</v>
      </c>
      <c r="J37" s="64">
        <f>5*100</f>
        <v>500</v>
      </c>
      <c r="K37" s="64">
        <f>5*30</f>
        <v>150</v>
      </c>
      <c r="L37" s="61">
        <f>J37+K37</f>
        <v>650</v>
      </c>
    </row>
    <row r="38" spans="3:12" ht="13.5" thickBot="1">
      <c r="C38"/>
      <c r="D38"/>
      <c r="E38"/>
      <c r="I38" s="63" t="s">
        <v>49</v>
      </c>
      <c r="J38" s="64">
        <f>500*0.05</f>
        <v>25</v>
      </c>
      <c r="K38" s="64">
        <f>80*0.05</f>
        <v>4</v>
      </c>
      <c r="L38" s="61">
        <f>J38+K38</f>
        <v>29</v>
      </c>
    </row>
    <row r="39" spans="3:12" ht="8.1" customHeight="1" thickBot="1">
      <c r="C39"/>
      <c r="D39"/>
      <c r="E39"/>
      <c r="I39" s="63"/>
      <c r="J39" s="61"/>
      <c r="K39" s="61"/>
      <c r="L39" s="61"/>
    </row>
    <row r="40" spans="3:12" ht="16.5" thickBot="1">
      <c r="D40" s="18"/>
      <c r="F40" s="19">
        <f>SUM(F24:F36)</f>
        <v>1</v>
      </c>
      <c r="G40" s="19"/>
      <c r="H40" s="29">
        <f>$F24*H$24+$F30*H$30+$F36*H$36</f>
        <v>22.510818053940401</v>
      </c>
      <c r="I40" s="66"/>
      <c r="J40" s="70">
        <f>$F24*J$24+$F30*J$30+$F36*J$36</f>
        <v>762.13239999999996</v>
      </c>
      <c r="K40" s="70">
        <f>$F24*K$24+$F30*K$30+$F36*K$36</f>
        <v>154.83521199999998</v>
      </c>
      <c r="L40" s="71">
        <f>$F24*L$24+$F30*L$30+$F36*L$36</f>
        <v>916.96761200000003</v>
      </c>
    </row>
    <row r="41" spans="3:12" ht="15" customHeight="1" thickBot="1">
      <c r="D41" s="18"/>
      <c r="F41" s="19"/>
      <c r="G41" s="19"/>
      <c r="H41" s="20"/>
      <c r="I41" s="20"/>
      <c r="J41" s="72"/>
      <c r="K41" s="72"/>
      <c r="L41" s="65"/>
    </row>
    <row r="42" spans="3:12" ht="14.25" thickTop="1" thickBot="1">
      <c r="F42" s="14" t="s">
        <v>12</v>
      </c>
      <c r="G42" s="14"/>
      <c r="H42" s="107">
        <f>H40-H17</f>
        <v>2.1071497164903974E-3</v>
      </c>
      <c r="I42" s="73"/>
      <c r="J42" s="74">
        <f>J40-J17</f>
        <v>524.23239999999998</v>
      </c>
      <c r="K42" s="74">
        <f>K40-K17</f>
        <v>153.79521199999999</v>
      </c>
      <c r="L42" s="75">
        <f>L40-L17</f>
        <v>678.02761200000009</v>
      </c>
    </row>
    <row r="43" spans="3:12" ht="14.25" thickTop="1" thickBot="1">
      <c r="F43" s="14"/>
      <c r="G43" s="14"/>
      <c r="H43" s="30" t="s">
        <v>14</v>
      </c>
      <c r="I43" s="21"/>
      <c r="J43" s="65"/>
      <c r="K43" s="65"/>
      <c r="L43" s="65"/>
    </row>
    <row r="44" spans="3:12" ht="13.5" thickBot="1">
      <c r="I44" s="76" t="s">
        <v>50</v>
      </c>
      <c r="J44" s="77">
        <f>J42/$H42</f>
        <v>248787.44775342545</v>
      </c>
      <c r="K44" s="77">
        <f>K42/$H42</f>
        <v>72987.320642861814</v>
      </c>
      <c r="L44" s="77">
        <f>L42/$H42</f>
        <v>321774.76839628728</v>
      </c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zoomScale="95" workbookViewId="0">
      <pane ySplit="1" topLeftCell="A20" activePane="bottomLeft" state="frozen"/>
      <selection pane="bottomLeft" activeCell="M28" sqref="M28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0.140625" style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2.5703125" style="8" customWidth="1"/>
    <col min="9" max="9" width="20.42578125" style="10" customWidth="1"/>
    <col min="10" max="16384" width="10.7109375" style="1"/>
  </cols>
  <sheetData>
    <row r="1" spans="2:12" s="7" customFormat="1" ht="41.25" customHeight="1">
      <c r="E1" s="11"/>
      <c r="F1" s="7" t="s">
        <v>0</v>
      </c>
      <c r="H1" s="7" t="s">
        <v>13</v>
      </c>
      <c r="I1" s="59"/>
      <c r="J1" s="60" t="s">
        <v>39</v>
      </c>
      <c r="K1" s="60" t="s">
        <v>40</v>
      </c>
      <c r="L1" s="7" t="s">
        <v>41</v>
      </c>
    </row>
    <row r="2" spans="2:12">
      <c r="I2" s="8"/>
      <c r="J2" s="61"/>
      <c r="K2" s="61"/>
    </row>
    <row r="3" spans="2:12" ht="12.75" thickBot="1">
      <c r="D3" s="3" t="s">
        <v>1</v>
      </c>
      <c r="H3" s="8" t="s">
        <v>2</v>
      </c>
      <c r="I3" s="8"/>
      <c r="J3" s="61"/>
      <c r="K3" s="61"/>
    </row>
    <row r="4" spans="2:12" ht="15.75" customHeight="1" thickBot="1">
      <c r="D4" s="5">
        <v>0.2</v>
      </c>
      <c r="E4" s="12"/>
      <c r="F4" s="9">
        <f>D4*C7</f>
        <v>4.5999999999999999E-3</v>
      </c>
      <c r="H4" s="34">
        <v>5.6536575665180031</v>
      </c>
      <c r="I4" s="14" t="s">
        <v>42</v>
      </c>
      <c r="J4" s="62">
        <f>J5+J6+J7</f>
        <v>21500</v>
      </c>
      <c r="K4" s="62">
        <f>K5+K6+K7</f>
        <v>80</v>
      </c>
      <c r="L4" s="62">
        <f>J4+K4</f>
        <v>21580</v>
      </c>
    </row>
    <row r="5" spans="2:12" ht="12.75" thickBot="1">
      <c r="D5" s="2"/>
      <c r="I5" s="63" t="s">
        <v>43</v>
      </c>
      <c r="J5" s="61">
        <v>500</v>
      </c>
      <c r="K5" s="61">
        <v>80</v>
      </c>
      <c r="L5" s="61">
        <f>J5+K5</f>
        <v>580</v>
      </c>
    </row>
    <row r="6" spans="2:12" ht="12.75" thickBot="1">
      <c r="C6" s="3" t="s">
        <v>3</v>
      </c>
      <c r="D6" s="2"/>
      <c r="I6" s="14" t="s">
        <v>44</v>
      </c>
      <c r="J6" s="64">
        <v>7000</v>
      </c>
      <c r="K6" s="65"/>
      <c r="L6" s="61">
        <f>J6+K6</f>
        <v>7000</v>
      </c>
    </row>
    <row r="7" spans="2:12" ht="17.100000000000001" customHeight="1" thickBot="1">
      <c r="C7" s="24">
        <v>2.3E-2</v>
      </c>
      <c r="D7" s="2"/>
      <c r="I7" s="14" t="s">
        <v>45</v>
      </c>
      <c r="J7" s="61">
        <v>14000</v>
      </c>
      <c r="K7"/>
      <c r="L7" s="61">
        <f>J7+K7</f>
        <v>14000</v>
      </c>
    </row>
    <row r="8" spans="2:12">
      <c r="C8" s="2"/>
      <c r="D8" s="2"/>
      <c r="I8" s="8"/>
      <c r="J8" s="61"/>
      <c r="K8" s="61"/>
    </row>
    <row r="9" spans="2:12" ht="12.75" thickBot="1">
      <c r="B9" s="3" t="s">
        <v>4</v>
      </c>
      <c r="C9" s="2"/>
      <c r="D9" s="4" t="s">
        <v>5</v>
      </c>
      <c r="H9" s="8" t="s">
        <v>6</v>
      </c>
      <c r="I9" s="8"/>
      <c r="J9" s="61"/>
      <c r="K9" s="61"/>
    </row>
    <row r="10" spans="2:12" ht="15" customHeight="1" thickBot="1">
      <c r="B10" s="2"/>
      <c r="C10" s="2"/>
      <c r="D10" s="6">
        <f>1-D4</f>
        <v>0.8</v>
      </c>
      <c r="E10" s="12"/>
      <c r="F10" s="9">
        <f>D10*C7</f>
        <v>1.84E-2</v>
      </c>
      <c r="H10" s="34">
        <v>17.864972374625086</v>
      </c>
      <c r="I10" s="14" t="s">
        <v>42</v>
      </c>
      <c r="J10" s="62">
        <f>J11+J12+J13</f>
        <v>17500</v>
      </c>
      <c r="K10" s="62">
        <f>K11+K12+K13</f>
        <v>80</v>
      </c>
      <c r="L10" s="62">
        <f>J10+K10</f>
        <v>17580</v>
      </c>
    </row>
    <row r="11" spans="2:12">
      <c r="B11" s="2"/>
      <c r="C11" s="2"/>
      <c r="D11" s="6"/>
      <c r="E11" s="12"/>
      <c r="H11" s="13"/>
      <c r="I11" s="63" t="s">
        <v>43</v>
      </c>
      <c r="J11" s="61">
        <f>J$5</f>
        <v>500</v>
      </c>
      <c r="K11" s="61">
        <v>80</v>
      </c>
      <c r="L11" s="61">
        <f>J11+K11</f>
        <v>580</v>
      </c>
    </row>
    <row r="12" spans="2:12">
      <c r="B12" s="2"/>
      <c r="C12" s="2"/>
      <c r="D12" s="6"/>
      <c r="E12" s="12"/>
      <c r="G12" s="25" t="str">
        <f>IF(H15&gt;H10," ","Error check: Do you want H15 &gt; H10?")</f>
        <v xml:space="preserve"> </v>
      </c>
      <c r="H12" s="13"/>
      <c r="I12" s="14" t="s">
        <v>44</v>
      </c>
      <c r="J12" s="61">
        <f>J$6</f>
        <v>7000</v>
      </c>
      <c r="K12" s="61">
        <f>K$6</f>
        <v>0</v>
      </c>
      <c r="L12" s="61">
        <f>J12+K12</f>
        <v>7000</v>
      </c>
    </row>
    <row r="13" spans="2:12" ht="12.75">
      <c r="B13" s="2"/>
      <c r="C13" s="2"/>
      <c r="F13"/>
      <c r="G13"/>
      <c r="I13" s="14" t="s">
        <v>46</v>
      </c>
      <c r="J13" s="61">
        <v>10000</v>
      </c>
      <c r="K13" s="61">
        <v>0</v>
      </c>
      <c r="L13" s="61">
        <f>J13+K13</f>
        <v>10000</v>
      </c>
    </row>
    <row r="14" spans="2:12" ht="12.75" thickBot="1">
      <c r="B14" s="2"/>
      <c r="C14" s="4" t="s">
        <v>7</v>
      </c>
      <c r="H14" s="8" t="s">
        <v>17</v>
      </c>
      <c r="I14" s="8"/>
      <c r="J14" s="61"/>
      <c r="K14" s="61"/>
    </row>
    <row r="15" spans="2:12" ht="15" customHeight="1" thickBot="1">
      <c r="B15" s="2"/>
      <c r="C15" s="6">
        <f>1-C7</f>
        <v>0.97699999999999998</v>
      </c>
      <c r="F15" s="9">
        <f>C15</f>
        <v>0.97699999999999998</v>
      </c>
      <c r="H15" s="34">
        <v>19.657720197267682</v>
      </c>
      <c r="I15" s="13"/>
      <c r="J15" s="62">
        <v>0</v>
      </c>
      <c r="K15" s="62">
        <v>0</v>
      </c>
      <c r="L15" s="62">
        <f>J15+K15</f>
        <v>0</v>
      </c>
    </row>
    <row r="16" spans="2:12" ht="5.0999999999999996" customHeight="1" thickBot="1">
      <c r="B16" s="2"/>
      <c r="F16"/>
      <c r="G16"/>
      <c r="H16"/>
      <c r="I16"/>
      <c r="J16"/>
      <c r="K16"/>
      <c r="L16"/>
    </row>
    <row r="17" spans="1:12" ht="13.5" thickBot="1">
      <c r="B17" s="2"/>
      <c r="F17" s="19">
        <f>SUM(F4:F15)</f>
        <v>1</v>
      </c>
      <c r="G17" s="19"/>
      <c r="H17" s="29">
        <f>$F4*H$4+$F10*H$10+$F15*H$15</f>
        <v>19.56031494922961</v>
      </c>
      <c r="I17" s="66"/>
      <c r="J17" s="67">
        <f>$F4*J$4+$F10*J$10+$F15*J$15</f>
        <v>420.9</v>
      </c>
      <c r="K17" s="67">
        <f>$F4*K$4+$F10*K$10+$F15*K$15</f>
        <v>1.8399999999999999</v>
      </c>
      <c r="L17" s="68">
        <f>$F4*L$4+$F10*L$10+$F15*L$15</f>
        <v>422.74</v>
      </c>
    </row>
    <row r="18" spans="1:12" ht="12.75">
      <c r="B18" s="2"/>
      <c r="F18" s="26"/>
      <c r="I18"/>
      <c r="J18"/>
      <c r="K18"/>
      <c r="L18"/>
    </row>
    <row r="19" spans="1:12" ht="12.75">
      <c r="A19" s="22" t="s">
        <v>8</v>
      </c>
      <c r="B19" s="2"/>
      <c r="I19"/>
      <c r="J19"/>
      <c r="K19"/>
      <c r="L19"/>
    </row>
    <row r="20" spans="1:12" ht="12.75">
      <c r="A20" s="23" t="s">
        <v>38</v>
      </c>
      <c r="B20" s="2"/>
      <c r="C20"/>
      <c r="D20"/>
      <c r="I20"/>
      <c r="J20"/>
      <c r="K20"/>
      <c r="L20"/>
    </row>
    <row r="21" spans="1:12" ht="13.5" thickBot="1">
      <c r="B21" s="2"/>
      <c r="C21" s="15" t="s">
        <v>10</v>
      </c>
      <c r="D21" s="16"/>
      <c r="I21"/>
      <c r="J21"/>
      <c r="K21"/>
      <c r="L21"/>
    </row>
    <row r="22" spans="1:12" ht="13.5" thickBot="1">
      <c r="B22" s="2"/>
      <c r="C22" s="33">
        <v>0.3</v>
      </c>
      <c r="D22" s="17"/>
      <c r="I22"/>
      <c r="J22"/>
      <c r="K22"/>
    </row>
    <row r="23" spans="1:12" ht="12.75" thickBot="1">
      <c r="B23" s="2"/>
      <c r="D23" s="3" t="s">
        <v>1</v>
      </c>
      <c r="H23" s="8" t="s">
        <v>2</v>
      </c>
      <c r="I23" s="8"/>
      <c r="J23" s="61"/>
      <c r="K23" s="61"/>
    </row>
    <row r="24" spans="1:12" ht="13.5" thickBot="1">
      <c r="B24" s="2"/>
      <c r="D24" s="5">
        <f>D4*(1-C22)</f>
        <v>0.13999999999999999</v>
      </c>
      <c r="E24" s="12"/>
      <c r="F24" s="27">
        <f>D24*C27</f>
        <v>3.2255999999999995E-3</v>
      </c>
      <c r="H24" s="34">
        <v>5.6534253746813166</v>
      </c>
      <c r="I24" s="14" t="s">
        <v>42</v>
      </c>
      <c r="J24" s="62">
        <f>J25+J26+J27+J28</f>
        <v>21762.5</v>
      </c>
      <c r="K24" s="62">
        <f>K25+K26+K27+K28</f>
        <v>157</v>
      </c>
      <c r="L24" s="62">
        <f>L25+L26+L27+L28</f>
        <v>21919.5</v>
      </c>
    </row>
    <row r="25" spans="1:12">
      <c r="B25" s="2"/>
      <c r="D25" s="2"/>
      <c r="I25" s="63" t="s">
        <v>47</v>
      </c>
      <c r="J25" s="65">
        <v>250</v>
      </c>
      <c r="K25" s="65">
        <v>75</v>
      </c>
      <c r="L25" s="61">
        <f>J25+K25</f>
        <v>325</v>
      </c>
    </row>
    <row r="26" spans="1:12">
      <c r="B26" s="2"/>
      <c r="C26" s="3" t="s">
        <v>3</v>
      </c>
      <c r="D26" s="2"/>
      <c r="I26" s="63" t="s">
        <v>51</v>
      </c>
      <c r="J26" s="69">
        <f>J5+J38/2</f>
        <v>512.5</v>
      </c>
      <c r="K26" s="69">
        <f>K5+K38/2</f>
        <v>82</v>
      </c>
      <c r="L26" s="61">
        <f>J26+K26</f>
        <v>594.5</v>
      </c>
    </row>
    <row r="27" spans="1:12">
      <c r="B27" s="2"/>
      <c r="C27" s="5">
        <f>C7+0.00004</f>
        <v>2.3039999999999998E-2</v>
      </c>
      <c r="D27" s="2"/>
      <c r="I27" s="14" t="s">
        <v>44</v>
      </c>
      <c r="J27" s="61">
        <f>J$6</f>
        <v>7000</v>
      </c>
      <c r="K27" s="61">
        <f>K$6</f>
        <v>0</v>
      </c>
      <c r="L27" s="61">
        <f>J27+K27</f>
        <v>7000</v>
      </c>
    </row>
    <row r="28" spans="1:12">
      <c r="B28" s="2"/>
      <c r="C28" s="2"/>
      <c r="D28" s="2"/>
      <c r="I28" s="14" t="s">
        <v>45</v>
      </c>
      <c r="J28" s="61">
        <f>J$7</f>
        <v>14000</v>
      </c>
      <c r="K28" s="61">
        <f>K$7</f>
        <v>0</v>
      </c>
      <c r="L28" s="61">
        <f>J28+K28</f>
        <v>14000</v>
      </c>
    </row>
    <row r="29" spans="1:12" ht="12.75" thickBot="1">
      <c r="B29" s="2"/>
      <c r="C29" s="2"/>
      <c r="D29" s="4" t="s">
        <v>5</v>
      </c>
      <c r="H29" s="8" t="s">
        <v>6</v>
      </c>
      <c r="I29" s="8"/>
      <c r="J29" s="61"/>
      <c r="K29" s="61"/>
    </row>
    <row r="30" spans="1:12" ht="13.5" thickBot="1">
      <c r="B30" s="4" t="s">
        <v>11</v>
      </c>
      <c r="C30" s="2"/>
      <c r="D30" s="6">
        <f>1-D24</f>
        <v>0.86</v>
      </c>
      <c r="E30" s="12"/>
      <c r="F30" s="27">
        <f>D30*C27</f>
        <v>1.9814399999999999E-2</v>
      </c>
      <c r="H30" s="34">
        <v>17.864740182788399</v>
      </c>
      <c r="I30" s="14" t="s">
        <v>42</v>
      </c>
      <c r="J30" s="62">
        <f>J31+J32+J33+J34</f>
        <v>18012.5</v>
      </c>
      <c r="K30" s="62">
        <f>K31+K32+K33+K34</f>
        <v>232</v>
      </c>
      <c r="L30" s="62">
        <f>L31+L32+L33+L34</f>
        <v>18244.5</v>
      </c>
    </row>
    <row r="31" spans="1:12">
      <c r="C31" s="2"/>
      <c r="D31" s="6"/>
      <c r="E31" s="12"/>
      <c r="H31" s="13"/>
      <c r="I31" s="63" t="s">
        <v>48</v>
      </c>
      <c r="J31" s="65">
        <f>J37</f>
        <v>500</v>
      </c>
      <c r="K31" s="65">
        <f>K37</f>
        <v>150</v>
      </c>
      <c r="L31" s="61">
        <f>J31+K31</f>
        <v>650</v>
      </c>
    </row>
    <row r="32" spans="1:12">
      <c r="C32" s="2"/>
      <c r="D32" s="6"/>
      <c r="E32" s="12"/>
      <c r="H32" s="13"/>
      <c r="I32" s="63" t="s">
        <v>51</v>
      </c>
      <c r="J32" s="61">
        <f>J26</f>
        <v>512.5</v>
      </c>
      <c r="K32" s="61">
        <f>K26</f>
        <v>82</v>
      </c>
      <c r="L32" s="61">
        <f>J32+K32</f>
        <v>594.5</v>
      </c>
    </row>
    <row r="33" spans="3:12">
      <c r="C33" s="2"/>
      <c r="I33" s="14" t="s">
        <v>44</v>
      </c>
      <c r="J33" s="61">
        <f>J$6</f>
        <v>7000</v>
      </c>
      <c r="K33" s="61">
        <f>K$6</f>
        <v>0</v>
      </c>
      <c r="L33" s="61">
        <f>J33+K33</f>
        <v>7000</v>
      </c>
    </row>
    <row r="34" spans="3:12">
      <c r="C34" s="2"/>
      <c r="I34" s="14" t="s">
        <v>46</v>
      </c>
      <c r="J34" s="61">
        <f>J$13</f>
        <v>10000</v>
      </c>
      <c r="K34" s="61">
        <f>K$13</f>
        <v>0</v>
      </c>
      <c r="L34" s="61">
        <f>J34+K34</f>
        <v>10000</v>
      </c>
    </row>
    <row r="35" spans="3:12" ht="12.75" thickBot="1">
      <c r="C35" s="4" t="s">
        <v>7</v>
      </c>
      <c r="H35" s="8" t="s">
        <v>17</v>
      </c>
      <c r="I35" s="8"/>
      <c r="J35" s="61"/>
      <c r="K35" s="61"/>
    </row>
    <row r="36" spans="3:12" ht="13.5" thickBot="1">
      <c r="C36" s="6">
        <f>1-C27</f>
        <v>0.97696000000000005</v>
      </c>
      <c r="F36" s="9">
        <f>C36</f>
        <v>0.97696000000000005</v>
      </c>
      <c r="H36" s="34">
        <v>19.657288892875492</v>
      </c>
      <c r="I36" s="14" t="s">
        <v>42</v>
      </c>
      <c r="J36" s="62">
        <f>J37+J38</f>
        <v>525</v>
      </c>
      <c r="K36" s="62">
        <f>K37+K38</f>
        <v>154</v>
      </c>
      <c r="L36" s="62">
        <f>L37+L38</f>
        <v>679</v>
      </c>
    </row>
    <row r="37" spans="3:12" ht="12.75" customHeight="1" thickBot="1">
      <c r="H37" s="13"/>
      <c r="I37" s="63" t="s">
        <v>48</v>
      </c>
      <c r="J37" s="64">
        <f>5*100</f>
        <v>500</v>
      </c>
      <c r="K37" s="64">
        <f>5*30</f>
        <v>150</v>
      </c>
      <c r="L37" s="61">
        <f>J37+K37</f>
        <v>650</v>
      </c>
    </row>
    <row r="38" spans="3:12" ht="12.75" thickBot="1">
      <c r="I38" s="63" t="s">
        <v>49</v>
      </c>
      <c r="J38" s="64">
        <f>500*0.05</f>
        <v>25</v>
      </c>
      <c r="K38" s="64">
        <f>80*0.05</f>
        <v>4</v>
      </c>
      <c r="L38" s="61">
        <f>J38+K38</f>
        <v>29</v>
      </c>
    </row>
    <row r="39" spans="3:12" ht="8.1" customHeight="1" thickBot="1">
      <c r="I39" s="63"/>
      <c r="J39" s="61"/>
      <c r="K39" s="61"/>
      <c r="L39" s="61"/>
    </row>
    <row r="40" spans="3:12" ht="13.5" thickBot="1">
      <c r="C40"/>
      <c r="D40"/>
      <c r="E40"/>
      <c r="F40" s="19">
        <f>SUM(F24:F36)</f>
        <v>1</v>
      </c>
      <c r="G40" s="19"/>
      <c r="H40" s="29">
        <f>$F24*H$24+$F30*H$30+$F36*H$36</f>
        <v>19.576599753550056</v>
      </c>
      <c r="I40" s="66"/>
      <c r="J40" s="70">
        <f>$F24*J$24+$F30*J$30+$F36*J$36</f>
        <v>940.00800000000004</v>
      </c>
      <c r="K40" s="70">
        <f>$F24*K$24+$F30*K$30+$F36*K$36</f>
        <v>155.55520000000001</v>
      </c>
      <c r="L40" s="71">
        <f>$F24*L$24+$F30*L$30+$F36*L$36</f>
        <v>1095.5632000000001</v>
      </c>
    </row>
    <row r="41" spans="3:12" ht="15" customHeight="1" thickBot="1">
      <c r="C41"/>
      <c r="D41"/>
      <c r="E41"/>
      <c r="F41" s="19"/>
      <c r="G41" s="19"/>
      <c r="H41" s="20"/>
      <c r="I41" s="20"/>
      <c r="J41" s="72"/>
      <c r="K41" s="72"/>
      <c r="L41" s="65"/>
    </row>
    <row r="42" spans="3:12" ht="17.25" thickTop="1" thickBot="1">
      <c r="D42" s="18"/>
      <c r="F42" s="14" t="s">
        <v>12</v>
      </c>
      <c r="G42" s="14"/>
      <c r="H42" s="28">
        <f>H40-H17</f>
        <v>1.6284804320445545E-2</v>
      </c>
      <c r="I42" s="73"/>
      <c r="J42" s="74">
        <f>J40-J17</f>
        <v>519.10800000000006</v>
      </c>
      <c r="K42" s="74">
        <f>K40-K17</f>
        <v>153.71520000000001</v>
      </c>
      <c r="L42" s="75">
        <f>L40-L17</f>
        <v>672.82320000000004</v>
      </c>
    </row>
    <row r="43" spans="3:12" ht="17.25" thickTop="1" thickBot="1">
      <c r="D43" s="18"/>
      <c r="F43" s="14"/>
      <c r="G43" s="14"/>
      <c r="H43" s="30" t="s">
        <v>14</v>
      </c>
      <c r="I43" s="21"/>
      <c r="J43" s="65"/>
      <c r="K43" s="65"/>
      <c r="L43" s="65"/>
    </row>
    <row r="44" spans="3:12" ht="13.5" thickBot="1">
      <c r="I44" s="76" t="s">
        <v>50</v>
      </c>
      <c r="J44" s="77">
        <f>J42/$H42</f>
        <v>31876.833751588947</v>
      </c>
      <c r="K44" s="77">
        <f>K42/$H42</f>
        <v>9439.1800463337986</v>
      </c>
      <c r="L44" s="77">
        <f>L42/$H42</f>
        <v>41316.013797922744</v>
      </c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zoomScale="95" workbookViewId="0">
      <pane ySplit="1" topLeftCell="A2" activePane="bottomLeft" state="frozen"/>
      <selection pane="bottomLeft" activeCell="K27" sqref="K27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0.140625" style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2.5703125" style="8" customWidth="1"/>
    <col min="9" max="9" width="20.42578125" style="10" customWidth="1"/>
    <col min="10" max="16384" width="10.7109375" style="1"/>
  </cols>
  <sheetData>
    <row r="1" spans="2:12" s="7" customFormat="1" ht="41.25" customHeight="1">
      <c r="E1" s="11"/>
      <c r="F1" s="7" t="s">
        <v>0</v>
      </c>
      <c r="H1" s="7" t="s">
        <v>13</v>
      </c>
      <c r="I1" s="59"/>
      <c r="J1" s="60" t="s">
        <v>39</v>
      </c>
      <c r="K1" s="60" t="s">
        <v>40</v>
      </c>
      <c r="L1" s="7" t="s">
        <v>41</v>
      </c>
    </row>
    <row r="2" spans="2:12">
      <c r="I2" s="8"/>
      <c r="J2" s="61"/>
      <c r="K2" s="61"/>
    </row>
    <row r="3" spans="2:12" ht="12.75" thickBot="1">
      <c r="D3" s="3" t="s">
        <v>1</v>
      </c>
      <c r="H3" s="8" t="s">
        <v>2</v>
      </c>
      <c r="I3" s="8"/>
      <c r="J3" s="61"/>
      <c r="K3" s="61"/>
    </row>
    <row r="4" spans="2:12" ht="15.75" customHeight="1" thickBot="1">
      <c r="D4" s="5">
        <v>0.2</v>
      </c>
      <c r="E4" s="12"/>
      <c r="F4" s="9">
        <f>D4*C7</f>
        <v>7.000000000000001E-3</v>
      </c>
      <c r="H4" s="34">
        <v>5.6536575665180031</v>
      </c>
      <c r="I4" s="14" t="s">
        <v>42</v>
      </c>
      <c r="J4" s="62">
        <f>J5+J6+J7</f>
        <v>21500</v>
      </c>
      <c r="K4" s="62">
        <f>K5+K6+K7</f>
        <v>80</v>
      </c>
      <c r="L4" s="62">
        <f>J4+K4</f>
        <v>21580</v>
      </c>
    </row>
    <row r="5" spans="2:12" ht="12.75" thickBot="1">
      <c r="D5" s="2"/>
      <c r="I5" s="63" t="s">
        <v>43</v>
      </c>
      <c r="J5" s="61">
        <v>500</v>
      </c>
      <c r="K5" s="61">
        <v>80</v>
      </c>
      <c r="L5" s="61">
        <f>J5+K5</f>
        <v>580</v>
      </c>
    </row>
    <row r="6" spans="2:12" ht="12.75" thickBot="1">
      <c r="C6" s="3" t="s">
        <v>3</v>
      </c>
      <c r="D6" s="2"/>
      <c r="I6" s="14" t="s">
        <v>44</v>
      </c>
      <c r="J6" s="64">
        <v>7000</v>
      </c>
      <c r="K6" s="65"/>
      <c r="L6" s="61">
        <f>J6+K6</f>
        <v>7000</v>
      </c>
    </row>
    <row r="7" spans="2:12" ht="17.100000000000001" customHeight="1" thickBot="1">
      <c r="C7" s="24">
        <v>3.5000000000000003E-2</v>
      </c>
      <c r="D7" s="2"/>
      <c r="I7" s="14" t="s">
        <v>45</v>
      </c>
      <c r="J7" s="61">
        <v>14000</v>
      </c>
      <c r="K7"/>
      <c r="L7" s="61">
        <f>J7+K7</f>
        <v>14000</v>
      </c>
    </row>
    <row r="8" spans="2:12">
      <c r="C8" s="2"/>
      <c r="D8" s="2"/>
      <c r="I8" s="8"/>
      <c r="J8" s="61"/>
      <c r="K8" s="61"/>
    </row>
    <row r="9" spans="2:12" ht="12.75" thickBot="1">
      <c r="B9" s="3" t="s">
        <v>4</v>
      </c>
      <c r="C9" s="2"/>
      <c r="D9" s="4" t="s">
        <v>5</v>
      </c>
      <c r="H9" s="8" t="s">
        <v>6</v>
      </c>
      <c r="I9" s="8"/>
      <c r="J9" s="61"/>
      <c r="K9" s="61"/>
    </row>
    <row r="10" spans="2:12" ht="15" customHeight="1" thickBot="1">
      <c r="B10" s="2"/>
      <c r="C10" s="2"/>
      <c r="D10" s="6">
        <f>1-D4</f>
        <v>0.8</v>
      </c>
      <c r="E10" s="12"/>
      <c r="F10" s="9">
        <f>D10*C7</f>
        <v>2.8000000000000004E-2</v>
      </c>
      <c r="H10" s="34">
        <v>14.710797283160788</v>
      </c>
      <c r="I10" s="14" t="s">
        <v>42</v>
      </c>
      <c r="J10" s="62">
        <f>J11+J12+J13</f>
        <v>17500</v>
      </c>
      <c r="K10" s="62">
        <f>K11+K12+K13</f>
        <v>80</v>
      </c>
      <c r="L10" s="62">
        <f>J10+K10</f>
        <v>17580</v>
      </c>
    </row>
    <row r="11" spans="2:12">
      <c r="B11" s="2"/>
      <c r="C11" s="2"/>
      <c r="D11" s="6"/>
      <c r="E11" s="12"/>
      <c r="H11" s="13"/>
      <c r="I11" s="63" t="s">
        <v>43</v>
      </c>
      <c r="J11" s="61">
        <f>J$5</f>
        <v>500</v>
      </c>
      <c r="K11" s="61">
        <v>80</v>
      </c>
      <c r="L11" s="61">
        <f>J11+K11</f>
        <v>580</v>
      </c>
    </row>
    <row r="12" spans="2:12">
      <c r="B12" s="2"/>
      <c r="C12" s="2"/>
      <c r="D12" s="6"/>
      <c r="E12" s="12"/>
      <c r="G12" s="25" t="str">
        <f>IF(H15&gt;H10," ","Error check: Do you want H15 &gt; H10?")</f>
        <v xml:space="preserve"> </v>
      </c>
      <c r="H12" s="13"/>
      <c r="I12" s="14" t="s">
        <v>44</v>
      </c>
      <c r="J12" s="61">
        <f>J$6</f>
        <v>7000</v>
      </c>
      <c r="K12" s="61">
        <f>K$6</f>
        <v>0</v>
      </c>
      <c r="L12" s="61">
        <f>J12+K12</f>
        <v>7000</v>
      </c>
    </row>
    <row r="13" spans="2:12" ht="12.75">
      <c r="B13" s="2"/>
      <c r="C13" s="2"/>
      <c r="F13"/>
      <c r="G13"/>
      <c r="I13" s="14" t="s">
        <v>46</v>
      </c>
      <c r="J13" s="61">
        <v>10000</v>
      </c>
      <c r="K13" s="61">
        <v>0</v>
      </c>
      <c r="L13" s="61">
        <f>J13+K13</f>
        <v>10000</v>
      </c>
    </row>
    <row r="14" spans="2:12" ht="12.75" thickBot="1">
      <c r="B14" s="2"/>
      <c r="C14" s="4" t="s">
        <v>7</v>
      </c>
      <c r="H14" s="8" t="s">
        <v>17</v>
      </c>
      <c r="I14" s="8"/>
      <c r="J14" s="61"/>
      <c r="K14" s="61"/>
    </row>
    <row r="15" spans="2:12" ht="15" customHeight="1" thickBot="1">
      <c r="B15" s="2"/>
      <c r="C15" s="6">
        <f>1-C7</f>
        <v>0.96499999999999997</v>
      </c>
      <c r="F15" s="9">
        <f>C15</f>
        <v>0.96499999999999997</v>
      </c>
      <c r="H15" s="34">
        <v>16.328313156277591</v>
      </c>
      <c r="I15" s="13"/>
      <c r="J15" s="62">
        <v>0</v>
      </c>
      <c r="K15" s="62">
        <v>0</v>
      </c>
      <c r="L15" s="62">
        <f>J15+K15</f>
        <v>0</v>
      </c>
    </row>
    <row r="16" spans="2:12" ht="5.0999999999999996" customHeight="1" thickBot="1">
      <c r="B16" s="2"/>
      <c r="F16"/>
      <c r="G16"/>
      <c r="H16"/>
      <c r="I16"/>
      <c r="J16"/>
      <c r="K16"/>
      <c r="L16"/>
    </row>
    <row r="17" spans="1:12" ht="13.5" thickBot="1">
      <c r="B17" s="2"/>
      <c r="F17" s="19">
        <f>SUM(F4:F15)</f>
        <v>1</v>
      </c>
      <c r="G17" s="19"/>
      <c r="H17" s="29">
        <f>$F4*H$4+$F10*H$10+$F15*H$15</f>
        <v>16.208300122702003</v>
      </c>
      <c r="I17" s="66"/>
      <c r="J17" s="67">
        <f>$F4*J$4+$F10*J$10+$F15*J$15</f>
        <v>640.50000000000011</v>
      </c>
      <c r="K17" s="67">
        <f>$F4*K$4+$F10*K$10+$F15*K$15</f>
        <v>2.8000000000000003</v>
      </c>
      <c r="L17" s="68">
        <f>$F4*L$4+$F10*L$10+$F15*L$15</f>
        <v>643.30000000000007</v>
      </c>
    </row>
    <row r="18" spans="1:12" ht="12.75">
      <c r="B18" s="2"/>
      <c r="F18" s="26"/>
      <c r="I18"/>
      <c r="J18"/>
      <c r="K18"/>
      <c r="L18"/>
    </row>
    <row r="19" spans="1:12" ht="12.75">
      <c r="A19" s="22" t="s">
        <v>8</v>
      </c>
      <c r="B19" s="2"/>
      <c r="I19"/>
      <c r="J19"/>
      <c r="K19"/>
      <c r="L19"/>
    </row>
    <row r="20" spans="1:12" ht="12.75">
      <c r="A20" s="23" t="s">
        <v>37</v>
      </c>
      <c r="B20" s="2"/>
      <c r="C20"/>
      <c r="D20"/>
      <c r="I20"/>
      <c r="J20"/>
      <c r="K20"/>
      <c r="L20"/>
    </row>
    <row r="21" spans="1:12" ht="13.5" thickBot="1">
      <c r="B21" s="2"/>
      <c r="C21" s="15" t="s">
        <v>10</v>
      </c>
      <c r="D21" s="16"/>
      <c r="I21"/>
      <c r="J21"/>
      <c r="K21"/>
      <c r="L21"/>
    </row>
    <row r="22" spans="1:12" ht="13.5" thickBot="1">
      <c r="B22" s="2"/>
      <c r="C22" s="33">
        <v>0.3</v>
      </c>
      <c r="D22" s="17"/>
      <c r="I22"/>
      <c r="J22"/>
      <c r="K22"/>
    </row>
    <row r="23" spans="1:12" ht="12.75" thickBot="1">
      <c r="B23" s="2"/>
      <c r="D23" s="3" t="s">
        <v>1</v>
      </c>
      <c r="H23" s="8" t="s">
        <v>2</v>
      </c>
      <c r="I23" s="8"/>
      <c r="J23" s="61"/>
      <c r="K23" s="61"/>
    </row>
    <row r="24" spans="1:12" ht="13.5" thickBot="1">
      <c r="B24" s="2"/>
      <c r="D24" s="5">
        <f>D4*(1-C22)</f>
        <v>0.13999999999999999</v>
      </c>
      <c r="E24" s="12"/>
      <c r="F24" s="27">
        <f>D24*C27</f>
        <v>4.9055999999999995E-3</v>
      </c>
      <c r="H24" s="34">
        <v>5.6534253746813166</v>
      </c>
      <c r="I24" s="14" t="s">
        <v>42</v>
      </c>
      <c r="J24" s="62">
        <f>J25+J26+J27+J28</f>
        <v>21762.5</v>
      </c>
      <c r="K24" s="62">
        <f>K25+K26+K27+K28</f>
        <v>157</v>
      </c>
      <c r="L24" s="62">
        <f>L25+L26+L27+L28</f>
        <v>21919.5</v>
      </c>
    </row>
    <row r="25" spans="1:12">
      <c r="B25" s="2"/>
      <c r="D25" s="2"/>
      <c r="I25" s="63" t="s">
        <v>47</v>
      </c>
      <c r="J25" s="65">
        <v>250</v>
      </c>
      <c r="K25" s="65">
        <v>75</v>
      </c>
      <c r="L25" s="61">
        <f>J25+K25</f>
        <v>325</v>
      </c>
    </row>
    <row r="26" spans="1:12">
      <c r="B26" s="2"/>
      <c r="C26" s="3" t="s">
        <v>3</v>
      </c>
      <c r="D26" s="2"/>
      <c r="I26" s="63" t="s">
        <v>51</v>
      </c>
      <c r="J26" s="69">
        <f>J5+J38/2</f>
        <v>512.5</v>
      </c>
      <c r="K26" s="69">
        <f>K5+K38/2</f>
        <v>82</v>
      </c>
      <c r="L26" s="61">
        <f>J26+K26</f>
        <v>594.5</v>
      </c>
    </row>
    <row r="27" spans="1:12">
      <c r="B27" s="2"/>
      <c r="C27" s="5">
        <f>C7+0.00004</f>
        <v>3.5040000000000002E-2</v>
      </c>
      <c r="D27" s="2"/>
      <c r="I27" s="14" t="s">
        <v>44</v>
      </c>
      <c r="J27" s="61">
        <f>J$6</f>
        <v>7000</v>
      </c>
      <c r="K27" s="61">
        <f>K$6</f>
        <v>0</v>
      </c>
      <c r="L27" s="61">
        <f>J27+K27</f>
        <v>7000</v>
      </c>
    </row>
    <row r="28" spans="1:12">
      <c r="B28" s="2"/>
      <c r="C28" s="2"/>
      <c r="D28" s="2"/>
      <c r="I28" s="14" t="s">
        <v>45</v>
      </c>
      <c r="J28" s="61">
        <f>J$7</f>
        <v>14000</v>
      </c>
      <c r="K28" s="61">
        <f>K$7</f>
        <v>0</v>
      </c>
      <c r="L28" s="61">
        <f>J28+K28</f>
        <v>14000</v>
      </c>
    </row>
    <row r="29" spans="1:12" ht="12.75" thickBot="1">
      <c r="B29" s="2"/>
      <c r="C29" s="2"/>
      <c r="D29" s="4" t="s">
        <v>5</v>
      </c>
      <c r="H29" s="8" t="s">
        <v>6</v>
      </c>
      <c r="I29" s="8"/>
      <c r="J29" s="61"/>
      <c r="K29" s="61"/>
    </row>
    <row r="30" spans="1:12" ht="13.5" thickBot="1">
      <c r="B30" s="4" t="s">
        <v>11</v>
      </c>
      <c r="C30" s="2"/>
      <c r="D30" s="6">
        <f>1-D24</f>
        <v>0.86</v>
      </c>
      <c r="E30" s="12"/>
      <c r="F30" s="27">
        <f>D30*C27</f>
        <v>3.0134400000000002E-2</v>
      </c>
      <c r="H30" s="34">
        <v>14.710565091324101</v>
      </c>
      <c r="I30" s="14" t="s">
        <v>42</v>
      </c>
      <c r="J30" s="62">
        <f>J31+J32+J33+J34</f>
        <v>18012.5</v>
      </c>
      <c r="K30" s="62">
        <f>K31+K32+K33+K34</f>
        <v>232</v>
      </c>
      <c r="L30" s="62">
        <f>L31+L32+L33+L34</f>
        <v>18244.5</v>
      </c>
    </row>
    <row r="31" spans="1:12">
      <c r="C31" s="2"/>
      <c r="D31" s="6"/>
      <c r="E31" s="12"/>
      <c r="H31" s="13"/>
      <c r="I31" s="63" t="s">
        <v>48</v>
      </c>
      <c r="J31" s="65">
        <f>J37</f>
        <v>500</v>
      </c>
      <c r="K31" s="65">
        <f>K37</f>
        <v>150</v>
      </c>
      <c r="L31" s="61">
        <f>J31+K31</f>
        <v>650</v>
      </c>
    </row>
    <row r="32" spans="1:12">
      <c r="C32" s="2"/>
      <c r="D32" s="6"/>
      <c r="E32" s="12"/>
      <c r="H32" s="13"/>
      <c r="I32" s="63" t="s">
        <v>51</v>
      </c>
      <c r="J32" s="61">
        <f>J26</f>
        <v>512.5</v>
      </c>
      <c r="K32" s="61">
        <f>K26</f>
        <v>82</v>
      </c>
      <c r="L32" s="61">
        <f>J32+K32</f>
        <v>594.5</v>
      </c>
    </row>
    <row r="33" spans="3:12">
      <c r="C33" s="2"/>
      <c r="I33" s="14" t="s">
        <v>44</v>
      </c>
      <c r="J33" s="61">
        <f>J$6</f>
        <v>7000</v>
      </c>
      <c r="K33" s="61">
        <f>K$6</f>
        <v>0</v>
      </c>
      <c r="L33" s="61">
        <f>J33+K33</f>
        <v>7000</v>
      </c>
    </row>
    <row r="34" spans="3:12">
      <c r="C34" s="2"/>
      <c r="I34" s="14" t="s">
        <v>46</v>
      </c>
      <c r="J34" s="61">
        <f>J$13</f>
        <v>10000</v>
      </c>
      <c r="K34" s="61">
        <f>K$13</f>
        <v>0</v>
      </c>
      <c r="L34" s="61">
        <f>J34+K34</f>
        <v>10000</v>
      </c>
    </row>
    <row r="35" spans="3:12" ht="12.75" thickBot="1">
      <c r="C35" s="4" t="s">
        <v>7</v>
      </c>
      <c r="H35" s="8" t="s">
        <v>17</v>
      </c>
      <c r="I35" s="8"/>
      <c r="J35" s="61"/>
      <c r="K35" s="61"/>
    </row>
    <row r="36" spans="3:12" ht="13.5" thickBot="1">
      <c r="C36" s="6">
        <f>1-C27</f>
        <v>0.96496000000000004</v>
      </c>
      <c r="F36" s="9">
        <f>C36</f>
        <v>0.96496000000000004</v>
      </c>
      <c r="H36" s="34">
        <v>16.327881851885401</v>
      </c>
      <c r="I36" s="14" t="s">
        <v>42</v>
      </c>
      <c r="J36" s="62">
        <f>J37+J38</f>
        <v>525</v>
      </c>
      <c r="K36" s="62">
        <f>K37+K38</f>
        <v>154</v>
      </c>
      <c r="L36" s="62">
        <f>L37+L38</f>
        <v>679</v>
      </c>
    </row>
    <row r="37" spans="3:12" ht="14.25" customHeight="1" thickBot="1">
      <c r="H37" s="13"/>
      <c r="I37" s="63" t="s">
        <v>48</v>
      </c>
      <c r="J37" s="64">
        <f>5*100</f>
        <v>500</v>
      </c>
      <c r="K37" s="64">
        <f>5*30</f>
        <v>150</v>
      </c>
      <c r="L37" s="61">
        <f>J37+K37</f>
        <v>650</v>
      </c>
    </row>
    <row r="38" spans="3:12" ht="13.5" thickBot="1">
      <c r="C38"/>
      <c r="I38" s="63" t="s">
        <v>49</v>
      </c>
      <c r="J38" s="64">
        <f>500*0.05</f>
        <v>25</v>
      </c>
      <c r="K38" s="64">
        <f>80*0.05</f>
        <v>4</v>
      </c>
      <c r="L38" s="61">
        <f>J38+K38</f>
        <v>29</v>
      </c>
    </row>
    <row r="39" spans="3:12" ht="8.1" customHeight="1" thickBot="1">
      <c r="C39"/>
      <c r="I39" s="63"/>
      <c r="J39" s="61"/>
      <c r="K39" s="61"/>
      <c r="L39" s="61"/>
    </row>
    <row r="40" spans="3:12" ht="13.5" thickBot="1">
      <c r="D40"/>
      <c r="E40"/>
      <c r="F40" s="19">
        <f>SUM(F24:F36)</f>
        <v>1</v>
      </c>
      <c r="G40" s="19"/>
      <c r="H40" s="29">
        <f>$F24*H$24+$F30*H$30+$F36*H$36</f>
        <v>16.226780368001371</v>
      </c>
      <c r="I40" s="66"/>
      <c r="J40" s="70">
        <f>$F24*J$24+$F30*J$30+$F36*J$36</f>
        <v>1156.1579999999999</v>
      </c>
      <c r="K40" s="70">
        <f>$F24*K$24+$F30*K$30+$F36*K$36</f>
        <v>156.36520000000002</v>
      </c>
      <c r="L40" s="71">
        <f>$F24*L$24+$F30*L$30+$F36*L$36</f>
        <v>1312.5232000000001</v>
      </c>
    </row>
    <row r="41" spans="3:12" ht="15" customHeight="1" thickBot="1">
      <c r="D41"/>
      <c r="E41"/>
      <c r="F41" s="19"/>
      <c r="G41" s="19"/>
      <c r="H41" s="20"/>
      <c r="I41" s="20"/>
      <c r="J41" s="72"/>
      <c r="K41" s="72"/>
      <c r="L41" s="65"/>
    </row>
    <row r="42" spans="3:12" ht="17.25" thickTop="1" thickBot="1">
      <c r="D42" s="18"/>
      <c r="F42" s="14" t="s">
        <v>12</v>
      </c>
      <c r="G42" s="14"/>
      <c r="H42" s="28">
        <f>H40-H17</f>
        <v>1.8480245299368647E-2</v>
      </c>
      <c r="I42" s="73"/>
      <c r="J42" s="74">
        <f>J40-J17</f>
        <v>515.65799999999979</v>
      </c>
      <c r="K42" s="74">
        <f>K40-K17</f>
        <v>153.5652</v>
      </c>
      <c r="L42" s="75">
        <f>L40-L17</f>
        <v>669.22320000000002</v>
      </c>
    </row>
    <row r="43" spans="3:12" ht="17.25" thickTop="1" thickBot="1">
      <c r="D43" s="18"/>
      <c r="F43" s="14"/>
      <c r="G43" s="14"/>
      <c r="H43" s="30" t="s">
        <v>14</v>
      </c>
      <c r="I43" s="21"/>
      <c r="J43" s="65"/>
      <c r="K43" s="65"/>
      <c r="L43" s="65"/>
    </row>
    <row r="44" spans="3:12" ht="13.5" thickBot="1">
      <c r="I44" s="76" t="s">
        <v>50</v>
      </c>
      <c r="J44" s="77">
        <f>J42/$H42</f>
        <v>27903.201047748891</v>
      </c>
      <c r="K44" s="77">
        <f>K42/$H42</f>
        <v>8309.694893781867</v>
      </c>
      <c r="L44" s="77">
        <f>L42/$H42</f>
        <v>36212.895941530769</v>
      </c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30"/>
  <sheetViews>
    <sheetView workbookViewId="0">
      <selection activeCell="G7" sqref="G7"/>
    </sheetView>
  </sheetViews>
  <sheetFormatPr defaultColWidth="10.7109375" defaultRowHeight="12.75"/>
  <cols>
    <col min="1" max="1" width="3.42578125" style="116" customWidth="1"/>
    <col min="2" max="2" width="83.7109375" style="116" customWidth="1"/>
    <col min="3" max="3" width="2.7109375" style="116" customWidth="1"/>
    <col min="4" max="4" width="19.7109375" style="116" bestFit="1" customWidth="1"/>
    <col min="5" max="16384" width="10.7109375" style="116"/>
  </cols>
  <sheetData>
    <row r="2" spans="1:4">
      <c r="B2" s="115" t="s">
        <v>59</v>
      </c>
      <c r="D2" s="114" t="s">
        <v>57</v>
      </c>
    </row>
    <row r="3" spans="1:4">
      <c r="D3" s="114"/>
    </row>
    <row r="4" spans="1:4">
      <c r="B4" s="113" t="s">
        <v>60</v>
      </c>
      <c r="D4" s="114"/>
    </row>
    <row r="5" spans="1:4">
      <c r="D5" s="114"/>
    </row>
    <row r="7" spans="1:4" s="117" customFormat="1" ht="53.1" customHeight="1">
      <c r="A7" s="117">
        <v>1</v>
      </c>
      <c r="B7" s="119" t="s">
        <v>63</v>
      </c>
    </row>
    <row r="8" spans="1:4" s="117" customFormat="1" ht="25.5">
      <c r="A8" s="117">
        <v>2</v>
      </c>
      <c r="B8" s="119" t="s">
        <v>64</v>
      </c>
    </row>
    <row r="9" spans="1:4" s="117" customFormat="1" ht="25.5">
      <c r="A9" s="117">
        <v>3</v>
      </c>
      <c r="B9" s="119" t="s">
        <v>68</v>
      </c>
    </row>
    <row r="10" spans="1:4" s="117" customFormat="1">
      <c r="B10" s="119"/>
    </row>
    <row r="11" spans="1:4" s="117" customFormat="1" ht="38.25">
      <c r="A11" s="117">
        <v>4</v>
      </c>
      <c r="B11" s="119" t="s">
        <v>69</v>
      </c>
    </row>
    <row r="12" spans="1:4" s="117" customFormat="1" ht="25.5">
      <c r="A12" s="117">
        <v>5</v>
      </c>
      <c r="B12" s="119" t="s">
        <v>58</v>
      </c>
    </row>
    <row r="13" spans="1:4" s="117" customFormat="1" ht="25.5">
      <c r="A13" s="117">
        <v>6</v>
      </c>
      <c r="B13" s="119" t="s">
        <v>65</v>
      </c>
    </row>
    <row r="14" spans="1:4" s="117" customFormat="1">
      <c r="B14" s="119"/>
    </row>
    <row r="15" spans="1:4" s="117" customFormat="1">
      <c r="B15" s="119"/>
    </row>
    <row r="16" spans="1:4" s="117" customFormat="1">
      <c r="B16" s="119"/>
      <c r="D16" s="114"/>
    </row>
    <row r="17" spans="1:4" s="117" customFormat="1">
      <c r="B17" s="119"/>
    </row>
    <row r="18" spans="1:4" s="117" customFormat="1">
      <c r="B18" s="120"/>
    </row>
    <row r="19" spans="1:4" s="117" customFormat="1">
      <c r="B19" s="118" t="s">
        <v>61</v>
      </c>
      <c r="D19" s="114" t="s">
        <v>57</v>
      </c>
    </row>
    <row r="20" spans="1:4" s="122" customFormat="1">
      <c r="B20" s="123"/>
      <c r="D20" s="124"/>
    </row>
    <row r="21" spans="1:4" s="117" customFormat="1">
      <c r="B21" s="113" t="s">
        <v>60</v>
      </c>
      <c r="D21" s="114"/>
    </row>
    <row r="22" spans="1:4" s="117" customFormat="1">
      <c r="B22" s="116"/>
    </row>
    <row r="23" spans="1:4" s="117" customFormat="1">
      <c r="B23" s="116"/>
    </row>
    <row r="24" spans="1:4" s="117" customFormat="1" ht="25.5">
      <c r="A24" s="117">
        <v>1</v>
      </c>
      <c r="B24" s="119" t="s">
        <v>70</v>
      </c>
    </row>
    <row r="25" spans="1:4" s="117" customFormat="1" ht="25.5">
      <c r="A25" s="117">
        <v>2</v>
      </c>
      <c r="B25" s="121" t="s">
        <v>71</v>
      </c>
    </row>
    <row r="26" spans="1:4" s="117" customFormat="1">
      <c r="A26" s="117">
        <v>3</v>
      </c>
      <c r="B26" s="119" t="s">
        <v>72</v>
      </c>
    </row>
    <row r="27" spans="1:4" s="117" customFormat="1">
      <c r="B27" s="119"/>
    </row>
    <row r="28" spans="1:4" s="117" customFormat="1" ht="25.5">
      <c r="A28" s="117">
        <v>4</v>
      </c>
      <c r="B28" s="119" t="s">
        <v>66</v>
      </c>
    </row>
    <row r="29" spans="1:4" s="117" customFormat="1" ht="25.5">
      <c r="A29" s="117">
        <v>5</v>
      </c>
      <c r="B29" s="119" t="s">
        <v>62</v>
      </c>
    </row>
    <row r="30" spans="1:4" ht="25.5">
      <c r="A30" s="117">
        <v>6</v>
      </c>
      <c r="B30" s="119" t="s">
        <v>67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workbookViewId="0">
      <selection activeCell="O25" sqref="O25"/>
    </sheetView>
  </sheetViews>
  <sheetFormatPr defaultColWidth="8.7109375" defaultRowHeight="12.75"/>
  <cols>
    <col min="2" max="2" width="8.42578125" customWidth="1"/>
    <col min="3" max="3" width="13.5703125" customWidth="1"/>
  </cols>
  <sheetData>
    <row r="1" spans="2:12" ht="8.25" customHeight="1"/>
    <row r="2" spans="2:12">
      <c r="B2" s="82"/>
      <c r="C2" s="83"/>
      <c r="D2" s="84" t="s">
        <v>54</v>
      </c>
      <c r="E2" s="85"/>
      <c r="F2" s="96">
        <v>0.05</v>
      </c>
      <c r="G2" s="96">
        <v>7.0000000000000007E-2</v>
      </c>
      <c r="H2" s="96">
        <v>0.15</v>
      </c>
      <c r="I2" s="96">
        <v>0.2</v>
      </c>
      <c r="J2" s="96">
        <v>0.3</v>
      </c>
      <c r="K2" s="97">
        <v>0.4</v>
      </c>
    </row>
    <row r="3" spans="2:12">
      <c r="B3" s="98"/>
      <c r="C3" s="10"/>
      <c r="D3" s="99" t="s">
        <v>55</v>
      </c>
      <c r="E3" s="20"/>
      <c r="F3" s="21"/>
      <c r="G3" s="21"/>
      <c r="H3" s="21"/>
      <c r="I3" s="21"/>
      <c r="J3" s="21"/>
      <c r="K3" s="100"/>
    </row>
    <row r="4" spans="2:12">
      <c r="B4" s="101"/>
      <c r="C4" s="10"/>
      <c r="D4" s="20" t="s">
        <v>9</v>
      </c>
      <c r="E4" s="20"/>
      <c r="F4" s="108"/>
      <c r="G4" s="112"/>
      <c r="H4" s="108"/>
      <c r="I4" s="103"/>
      <c r="J4" s="103"/>
      <c r="K4" s="105"/>
    </row>
    <row r="5" spans="2:12">
      <c r="B5" s="101"/>
      <c r="C5" s="10"/>
      <c r="D5" s="20" t="s">
        <v>38</v>
      </c>
      <c r="E5" s="20"/>
      <c r="F5" s="103"/>
      <c r="G5" s="103"/>
      <c r="H5" s="108"/>
      <c r="I5" s="108"/>
      <c r="J5" s="112"/>
      <c r="K5" s="108"/>
      <c r="L5" s="101"/>
    </row>
    <row r="6" spans="2:12">
      <c r="B6" s="102"/>
      <c r="C6" s="90"/>
      <c r="D6" s="92" t="s">
        <v>37</v>
      </c>
      <c r="E6" s="92"/>
      <c r="F6" s="104"/>
      <c r="G6" s="104"/>
      <c r="H6" s="109"/>
      <c r="I6" s="109"/>
      <c r="J6" s="110"/>
      <c r="K6" s="111"/>
    </row>
    <row r="7" spans="2:12">
      <c r="G7" t="s">
        <v>56</v>
      </c>
    </row>
    <row r="30" spans="3:3">
      <c r="C30" s="125"/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M30"/>
  <sheetViews>
    <sheetView showGridLines="0" topLeftCell="B1" workbookViewId="0">
      <selection activeCell="O18" sqref="O18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3.5703125" style="1" bestFit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1.28515625" style="8" customWidth="1"/>
    <col min="9" max="9" width="13.42578125" style="8" customWidth="1"/>
    <col min="10" max="10" width="11.5703125" style="61" customWidth="1"/>
    <col min="11" max="11" width="10" style="61" customWidth="1"/>
    <col min="12" max="12" width="11.42578125" style="61" customWidth="1"/>
    <col min="13" max="13" width="4.140625" style="10" customWidth="1"/>
    <col min="14" max="14" width="7" style="1" customWidth="1"/>
    <col min="15" max="15" width="19.85546875" style="1" customWidth="1"/>
    <col min="16" max="16" width="9" style="1" customWidth="1"/>
    <col min="17" max="16384" width="10.7109375" style="1"/>
  </cols>
  <sheetData>
    <row r="1" spans="3:12" ht="7.5" customHeight="1" thickBot="1"/>
    <row r="2" spans="3:12" ht="14.25" customHeight="1" thickBot="1">
      <c r="D2" s="78"/>
      <c r="E2" s="79" t="s">
        <v>52</v>
      </c>
      <c r="F2" s="80">
        <v>0.01</v>
      </c>
      <c r="I2" s="81"/>
    </row>
    <row r="5" spans="3:12" ht="12.75">
      <c r="C5" s="82"/>
      <c r="D5" s="83"/>
      <c r="E5" s="83"/>
      <c r="F5" s="84" t="str">
        <f>E2</f>
        <v xml:space="preserve">Rate of false (+) </v>
      </c>
      <c r="G5" s="85"/>
      <c r="H5" s="86">
        <v>5.0000000000000001E-3</v>
      </c>
      <c r="I5" s="87">
        <v>0.01</v>
      </c>
      <c r="J5" s="86">
        <v>0.02</v>
      </c>
      <c r="K5" s="86">
        <v>0.03</v>
      </c>
      <c r="L5" s="88">
        <v>0.04</v>
      </c>
    </row>
    <row r="6" spans="3:12" ht="12.75">
      <c r="C6" s="89"/>
      <c r="D6" s="90"/>
      <c r="E6" s="90"/>
      <c r="F6" s="91" t="s">
        <v>53</v>
      </c>
      <c r="G6" s="92"/>
      <c r="H6" s="93"/>
      <c r="I6" s="94"/>
      <c r="J6" s="93"/>
      <c r="K6" s="93"/>
      <c r="L6" s="95"/>
    </row>
    <row r="30" spans="3:3">
      <c r="C30" s="125"/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zoomScale="90" workbookViewId="0">
      <pane ySplit="5" topLeftCell="A26" activePane="bottomLeft" state="frozen"/>
      <selection pane="bottomLeft" activeCell="F58" sqref="F58"/>
    </sheetView>
  </sheetViews>
  <sheetFormatPr defaultColWidth="11.42578125" defaultRowHeight="12.75"/>
  <cols>
    <col min="1" max="1" width="9.42578125" style="21" customWidth="1"/>
    <col min="2" max="2" width="14.42578125" style="21" customWidth="1"/>
    <col min="3" max="3" width="15.42578125" style="21" customWidth="1"/>
    <col min="4" max="9" width="13.5703125" style="21" customWidth="1"/>
    <col min="10" max="10" width="8.7109375" customWidth="1"/>
    <col min="11" max="16384" width="11.42578125" style="21"/>
  </cols>
  <sheetData>
    <row r="1" spans="1:9" ht="20.25" customHeight="1">
      <c r="A1" s="37" t="s">
        <v>15</v>
      </c>
      <c r="B1" s="37"/>
      <c r="C1" s="31"/>
      <c r="D1" s="31"/>
      <c r="E1" s="31"/>
      <c r="G1" s="52"/>
      <c r="I1" s="32"/>
    </row>
    <row r="2" spans="1:9" ht="13.5" customHeight="1"/>
    <row r="3" spans="1:9" ht="14.25" customHeight="1" thickBot="1">
      <c r="A3" s="53" t="s">
        <v>36</v>
      </c>
      <c r="B3" s="49">
        <v>0.03</v>
      </c>
    </row>
    <row r="4" spans="1:9" ht="16.5" customHeight="1" thickBot="1">
      <c r="A4" s="46"/>
      <c r="B4" s="46"/>
      <c r="C4" s="48" t="s">
        <v>26</v>
      </c>
      <c r="D4" s="126" t="s">
        <v>24</v>
      </c>
      <c r="E4" s="127"/>
      <c r="F4" s="126" t="s">
        <v>25</v>
      </c>
      <c r="G4" s="127"/>
      <c r="H4" s="126" t="s">
        <v>31</v>
      </c>
      <c r="I4" s="127"/>
    </row>
    <row r="5" spans="1:9" s="39" customFormat="1" ht="103.5" customHeight="1">
      <c r="A5" s="36" t="s">
        <v>16</v>
      </c>
      <c r="B5" s="36"/>
      <c r="C5" s="38" t="s">
        <v>27</v>
      </c>
      <c r="D5" s="38" t="s">
        <v>29</v>
      </c>
      <c r="E5" s="38" t="s">
        <v>28</v>
      </c>
      <c r="F5" s="38" t="s">
        <v>29</v>
      </c>
      <c r="G5" s="38" t="s">
        <v>30</v>
      </c>
      <c r="H5" s="38" t="s">
        <v>29</v>
      </c>
      <c r="I5" s="38" t="s">
        <v>32</v>
      </c>
    </row>
    <row r="6" spans="1:9" s="41" customFormat="1" ht="33.75" customHeight="1" thickBot="1">
      <c r="B6" s="55" t="s">
        <v>35</v>
      </c>
      <c r="C6" s="56">
        <f t="shared" ref="C6:I6" si="0">NPV($B$3,C8:C48)*(1+$B$3)^0.5</f>
        <v>5.6536575665180031</v>
      </c>
      <c r="D6" s="56">
        <f t="shared" si="0"/>
        <v>20.626760806042387</v>
      </c>
      <c r="E6" s="56">
        <f t="shared" si="0"/>
        <v>22.572941319319273</v>
      </c>
      <c r="F6" s="56">
        <f t="shared" si="0"/>
        <v>17.864972374625086</v>
      </c>
      <c r="G6" s="56">
        <f t="shared" si="0"/>
        <v>19.657720197267682</v>
      </c>
      <c r="H6" s="56">
        <f t="shared" si="0"/>
        <v>14.710797283160788</v>
      </c>
      <c r="I6" s="56">
        <f t="shared" si="0"/>
        <v>16.328313156277591</v>
      </c>
    </row>
    <row r="7" spans="1:9" s="41" customFormat="1" ht="33.75" customHeight="1" thickTop="1" thickBot="1">
      <c r="A7" s="40"/>
      <c r="B7" s="57" t="s">
        <v>34</v>
      </c>
      <c r="C7" s="58">
        <f t="shared" ref="C7:I7" si="1">C6-C57</f>
        <v>5.6534253746813166</v>
      </c>
      <c r="D7" s="58">
        <f t="shared" si="1"/>
        <v>20.6265286142057</v>
      </c>
      <c r="E7" s="58">
        <f t="shared" si="1"/>
        <v>22.572510014927083</v>
      </c>
      <c r="F7" s="58">
        <f t="shared" si="1"/>
        <v>17.864740182788399</v>
      </c>
      <c r="G7" s="58">
        <f t="shared" si="1"/>
        <v>19.657288892875492</v>
      </c>
      <c r="H7" s="58">
        <f t="shared" si="1"/>
        <v>14.710565091324101</v>
      </c>
      <c r="I7" s="58">
        <f t="shared" si="1"/>
        <v>16.327881851885401</v>
      </c>
    </row>
    <row r="8" spans="1:9" ht="13.5" thickTop="1">
      <c r="A8" s="42">
        <v>1</v>
      </c>
      <c r="B8" s="42"/>
      <c r="C8" s="43">
        <v>0.95</v>
      </c>
      <c r="D8" s="43">
        <v>0.95</v>
      </c>
      <c r="E8" s="43">
        <v>0.95</v>
      </c>
      <c r="F8" s="43">
        <v>0.95</v>
      </c>
      <c r="G8" s="43">
        <v>0.95</v>
      </c>
      <c r="H8" s="43">
        <v>0.95</v>
      </c>
      <c r="I8" s="43">
        <v>0.95</v>
      </c>
    </row>
    <row r="9" spans="1:9">
      <c r="A9" s="42">
        <v>2</v>
      </c>
      <c r="B9" s="42"/>
      <c r="C9" s="43">
        <v>0.95</v>
      </c>
      <c r="D9" s="43">
        <v>0.95</v>
      </c>
      <c r="E9" s="43">
        <v>0.95</v>
      </c>
      <c r="F9" s="43">
        <v>0.95</v>
      </c>
      <c r="G9" s="43">
        <v>0.95</v>
      </c>
      <c r="H9" s="43">
        <v>0.95</v>
      </c>
      <c r="I9" s="43">
        <v>0.95</v>
      </c>
    </row>
    <row r="10" spans="1:9">
      <c r="A10" s="42">
        <v>3</v>
      </c>
      <c r="B10" s="42"/>
      <c r="C10" s="43">
        <v>0.95</v>
      </c>
      <c r="D10" s="43">
        <v>0.95</v>
      </c>
      <c r="E10" s="43">
        <v>0.95</v>
      </c>
      <c r="F10" s="43">
        <v>0.95</v>
      </c>
      <c r="G10" s="43">
        <v>0.95</v>
      </c>
      <c r="H10" s="43">
        <v>0.95</v>
      </c>
      <c r="I10" s="43">
        <v>0.95</v>
      </c>
    </row>
    <row r="11" spans="1:9">
      <c r="A11" s="42">
        <v>4</v>
      </c>
      <c r="B11" s="42"/>
      <c r="C11" s="43">
        <v>0.95</v>
      </c>
      <c r="D11" s="43">
        <v>0.95</v>
      </c>
      <c r="E11" s="43">
        <v>0.95</v>
      </c>
      <c r="F11" s="43">
        <v>0.95</v>
      </c>
      <c r="G11" s="43">
        <v>0.95</v>
      </c>
      <c r="H11" s="43">
        <v>0.95</v>
      </c>
      <c r="I11" s="43">
        <v>0.95</v>
      </c>
    </row>
    <row r="12" spans="1:9">
      <c r="A12" s="42">
        <v>5</v>
      </c>
      <c r="B12" s="42"/>
      <c r="C12" s="43">
        <v>0.95</v>
      </c>
      <c r="D12" s="43">
        <v>0.95</v>
      </c>
      <c r="E12" s="43">
        <v>0.95</v>
      </c>
      <c r="F12" s="43">
        <v>0.95</v>
      </c>
      <c r="G12" s="43">
        <v>0.95</v>
      </c>
      <c r="H12" s="43">
        <v>0.95</v>
      </c>
      <c r="I12" s="43">
        <v>0.95</v>
      </c>
    </row>
    <row r="13" spans="1:9">
      <c r="A13" s="42">
        <v>6</v>
      </c>
      <c r="B13" s="42"/>
      <c r="C13" s="43">
        <v>0.5</v>
      </c>
      <c r="D13" s="43">
        <v>0.5</v>
      </c>
      <c r="E13" s="43">
        <v>0.95</v>
      </c>
      <c r="F13" s="43">
        <v>0.5</v>
      </c>
      <c r="G13" s="43">
        <v>0.95</v>
      </c>
      <c r="H13" s="43">
        <v>0.5</v>
      </c>
      <c r="I13" s="43">
        <v>0.95</v>
      </c>
    </row>
    <row r="14" spans="1:9">
      <c r="A14" s="42">
        <v>7</v>
      </c>
      <c r="B14" s="42"/>
      <c r="C14" s="43">
        <v>0.5</v>
      </c>
      <c r="D14" s="43">
        <v>0.5</v>
      </c>
      <c r="E14" s="43">
        <v>0.95</v>
      </c>
      <c r="F14" s="43">
        <v>0.5</v>
      </c>
      <c r="G14" s="43">
        <v>0.95</v>
      </c>
      <c r="H14" s="43">
        <v>0.5</v>
      </c>
      <c r="I14" s="43">
        <v>0.95</v>
      </c>
    </row>
    <row r="15" spans="1:9">
      <c r="A15" s="42">
        <v>8</v>
      </c>
      <c r="B15" s="42"/>
      <c r="C15" s="43">
        <v>0.5</v>
      </c>
      <c r="D15" s="43">
        <v>0.5</v>
      </c>
      <c r="E15" s="43">
        <v>0.95</v>
      </c>
      <c r="F15" s="43">
        <v>0.5</v>
      </c>
      <c r="G15" s="43">
        <v>0.95</v>
      </c>
      <c r="H15" s="43">
        <v>0.5</v>
      </c>
      <c r="I15" s="43">
        <v>0.95</v>
      </c>
    </row>
    <row r="16" spans="1:9">
      <c r="A16" s="42">
        <v>9</v>
      </c>
      <c r="B16" s="42"/>
      <c r="D16" s="47">
        <v>0.9</v>
      </c>
      <c r="E16" s="43">
        <v>0.95</v>
      </c>
      <c r="F16" s="47">
        <v>0.9</v>
      </c>
      <c r="G16" s="43">
        <v>0.95</v>
      </c>
      <c r="H16" s="47">
        <v>0.9</v>
      </c>
      <c r="I16" s="43">
        <v>0.95</v>
      </c>
    </row>
    <row r="17" spans="1:9">
      <c r="A17" s="42">
        <v>10</v>
      </c>
      <c r="B17" s="42"/>
      <c r="D17" s="47">
        <v>0.9</v>
      </c>
      <c r="E17" s="43">
        <v>0.95</v>
      </c>
      <c r="F17" s="47">
        <v>0.9</v>
      </c>
      <c r="G17" s="43">
        <v>0.95</v>
      </c>
      <c r="H17" s="47">
        <v>0.9</v>
      </c>
      <c r="I17" s="43">
        <v>0.95</v>
      </c>
    </row>
    <row r="18" spans="1:9">
      <c r="A18" s="42">
        <v>11</v>
      </c>
      <c r="B18" s="42"/>
      <c r="D18" s="47">
        <v>0.9</v>
      </c>
      <c r="E18" s="43">
        <v>0.95</v>
      </c>
      <c r="F18" s="47">
        <v>0.9</v>
      </c>
      <c r="G18" s="43">
        <v>0.95</v>
      </c>
      <c r="H18" s="47">
        <v>0.9</v>
      </c>
      <c r="I18" s="43">
        <v>0.95</v>
      </c>
    </row>
    <row r="19" spans="1:9">
      <c r="A19" s="42">
        <v>12</v>
      </c>
      <c r="B19" s="42"/>
      <c r="D19" s="47">
        <v>0.9</v>
      </c>
      <c r="E19" s="43">
        <v>0.95</v>
      </c>
      <c r="F19" s="47">
        <v>0.9</v>
      </c>
      <c r="G19" s="43">
        <v>0.95</v>
      </c>
      <c r="H19" s="47">
        <v>0.9</v>
      </c>
      <c r="I19" s="43">
        <v>0.95</v>
      </c>
    </row>
    <row r="20" spans="1:9">
      <c r="A20" s="42">
        <v>13</v>
      </c>
      <c r="B20" s="42"/>
      <c r="D20" s="47">
        <v>0.9</v>
      </c>
      <c r="E20" s="43">
        <v>0.95</v>
      </c>
      <c r="F20" s="47">
        <v>0.9</v>
      </c>
      <c r="G20" s="43">
        <v>0.95</v>
      </c>
      <c r="H20" s="47">
        <v>0.9</v>
      </c>
      <c r="I20" s="43">
        <v>0.95</v>
      </c>
    </row>
    <row r="21" spans="1:9">
      <c r="A21" s="42">
        <v>14</v>
      </c>
      <c r="B21" s="42"/>
      <c r="D21" s="47">
        <v>0.9</v>
      </c>
      <c r="E21" s="43">
        <v>0.95</v>
      </c>
      <c r="F21" s="47">
        <v>0.9</v>
      </c>
      <c r="G21" s="43">
        <v>0.95</v>
      </c>
      <c r="H21" s="47">
        <v>0.9</v>
      </c>
      <c r="I21" s="43">
        <v>0.95</v>
      </c>
    </row>
    <row r="22" spans="1:9">
      <c r="A22" s="42">
        <v>15</v>
      </c>
      <c r="B22" s="42"/>
      <c r="D22" s="47">
        <v>0.9</v>
      </c>
      <c r="E22" s="43">
        <v>0.95</v>
      </c>
      <c r="F22" s="47">
        <v>0.9</v>
      </c>
      <c r="G22" s="43">
        <v>0.95</v>
      </c>
      <c r="H22" s="47">
        <v>0.9</v>
      </c>
      <c r="I22" s="43">
        <v>0.95</v>
      </c>
    </row>
    <row r="23" spans="1:9">
      <c r="A23" s="42">
        <v>16</v>
      </c>
      <c r="B23" s="42"/>
      <c r="D23" s="47">
        <v>0.9</v>
      </c>
      <c r="E23" s="43">
        <v>0.95</v>
      </c>
      <c r="F23" s="47">
        <v>0.9</v>
      </c>
      <c r="G23" s="43">
        <v>0.95</v>
      </c>
      <c r="H23" s="47">
        <v>0.9</v>
      </c>
      <c r="I23" s="43">
        <v>0.95</v>
      </c>
    </row>
    <row r="24" spans="1:9">
      <c r="A24" s="42">
        <v>17</v>
      </c>
      <c r="B24" s="42"/>
      <c r="D24" s="47">
        <v>0.9</v>
      </c>
      <c r="E24" s="43">
        <v>0.95</v>
      </c>
      <c r="F24" s="47">
        <v>0.9</v>
      </c>
      <c r="G24" s="43">
        <v>0.95</v>
      </c>
      <c r="H24" s="47">
        <v>0.9</v>
      </c>
      <c r="I24" s="43">
        <v>0.95</v>
      </c>
    </row>
    <row r="25" spans="1:9">
      <c r="A25" s="42">
        <v>18</v>
      </c>
      <c r="B25" s="42"/>
      <c r="D25" s="47">
        <v>0.9</v>
      </c>
      <c r="E25" s="43">
        <v>0.95</v>
      </c>
      <c r="F25" s="47">
        <v>0.9</v>
      </c>
      <c r="G25" s="43">
        <v>0.95</v>
      </c>
      <c r="H25" s="47">
        <v>0.9</v>
      </c>
      <c r="I25" s="43">
        <v>0.95</v>
      </c>
    </row>
    <row r="26" spans="1:9">
      <c r="A26" s="42">
        <v>19</v>
      </c>
      <c r="B26" s="42"/>
      <c r="D26" s="47">
        <v>0.9</v>
      </c>
      <c r="E26" s="43">
        <v>0.95</v>
      </c>
      <c r="F26" s="47">
        <v>0.9</v>
      </c>
      <c r="G26" s="43">
        <v>0.95</v>
      </c>
      <c r="H26" s="47">
        <v>0.9</v>
      </c>
      <c r="I26" s="43">
        <v>0.95</v>
      </c>
    </row>
    <row r="27" spans="1:9">
      <c r="A27" s="42">
        <v>20</v>
      </c>
      <c r="B27" s="42"/>
      <c r="D27" s="47">
        <v>0.9</v>
      </c>
      <c r="E27" s="43">
        <v>0.95</v>
      </c>
      <c r="F27" s="47">
        <v>0.9</v>
      </c>
      <c r="G27" s="43">
        <v>0.95</v>
      </c>
      <c r="H27" s="47">
        <v>0.9</v>
      </c>
      <c r="I27" s="43">
        <v>0.95</v>
      </c>
    </row>
    <row r="28" spans="1:9">
      <c r="A28" s="42">
        <v>21</v>
      </c>
      <c r="B28" s="42"/>
      <c r="D28" s="47">
        <v>0.9</v>
      </c>
      <c r="E28" s="43">
        <v>0.95</v>
      </c>
      <c r="F28" s="47">
        <v>0.9</v>
      </c>
      <c r="G28" s="43">
        <v>0.95</v>
      </c>
      <c r="H28" s="47">
        <v>0.9</v>
      </c>
      <c r="I28" s="43">
        <v>0.95</v>
      </c>
    </row>
    <row r="29" spans="1:9">
      <c r="A29" s="42">
        <v>22</v>
      </c>
      <c r="B29" s="42"/>
      <c r="D29" s="47">
        <v>0.9</v>
      </c>
      <c r="E29" s="43">
        <v>0.95</v>
      </c>
      <c r="F29" s="47">
        <v>0.9</v>
      </c>
      <c r="G29" s="43">
        <v>0.95</v>
      </c>
      <c r="H29" s="47">
        <v>0.9</v>
      </c>
      <c r="I29" s="43">
        <v>0.95</v>
      </c>
    </row>
    <row r="30" spans="1:9">
      <c r="A30" s="42">
        <v>23</v>
      </c>
      <c r="B30" s="42"/>
      <c r="D30" s="47">
        <v>0.9</v>
      </c>
      <c r="E30" s="43">
        <v>0.95</v>
      </c>
      <c r="F30" s="47">
        <v>0.9</v>
      </c>
      <c r="G30" s="43">
        <v>0.95</v>
      </c>
      <c r="H30" s="47">
        <v>0.9</v>
      </c>
      <c r="I30" s="43">
        <v>0.95</v>
      </c>
    </row>
    <row r="31" spans="1:9">
      <c r="A31" s="42">
        <v>24</v>
      </c>
      <c r="B31" s="42"/>
      <c r="C31" s="44"/>
      <c r="D31" s="47">
        <v>0.9</v>
      </c>
      <c r="E31" s="43">
        <v>0.95</v>
      </c>
      <c r="F31" s="47">
        <v>0.9</v>
      </c>
      <c r="G31" s="43">
        <v>0.95</v>
      </c>
      <c r="H31" s="47">
        <v>0.9</v>
      </c>
      <c r="I31" s="43">
        <v>0.95</v>
      </c>
    </row>
    <row r="32" spans="1:9">
      <c r="A32" s="42">
        <v>25</v>
      </c>
      <c r="B32" s="42"/>
      <c r="D32" s="47">
        <v>0.9</v>
      </c>
      <c r="E32" s="43">
        <v>0.95</v>
      </c>
      <c r="F32" s="47">
        <v>0.9</v>
      </c>
      <c r="G32" s="43">
        <v>0.95</v>
      </c>
      <c r="H32"/>
      <c r="I32"/>
    </row>
    <row r="33" spans="1:9">
      <c r="A33" s="42">
        <v>26</v>
      </c>
      <c r="B33" s="42"/>
      <c r="D33" s="47">
        <v>0.9</v>
      </c>
      <c r="E33" s="43">
        <v>0.95</v>
      </c>
      <c r="F33" s="47">
        <v>0.9</v>
      </c>
      <c r="G33" s="43">
        <v>0.95</v>
      </c>
      <c r="H33"/>
      <c r="I33"/>
    </row>
    <row r="34" spans="1:9">
      <c r="A34" s="42">
        <v>27</v>
      </c>
      <c r="B34" s="42"/>
      <c r="D34" s="47">
        <v>0.9</v>
      </c>
      <c r="E34" s="43">
        <v>0.95</v>
      </c>
      <c r="F34" s="47">
        <v>0.9</v>
      </c>
      <c r="G34" s="43">
        <v>0.95</v>
      </c>
      <c r="H34"/>
      <c r="I34"/>
    </row>
    <row r="35" spans="1:9">
      <c r="A35" s="42">
        <v>28</v>
      </c>
      <c r="B35" s="42"/>
      <c r="D35" s="47">
        <v>0.9</v>
      </c>
      <c r="E35" s="43">
        <v>0.95</v>
      </c>
      <c r="F35" s="47">
        <v>0.9</v>
      </c>
      <c r="G35" s="43">
        <v>0.95</v>
      </c>
      <c r="H35"/>
      <c r="I35"/>
    </row>
    <row r="36" spans="1:9">
      <c r="A36" s="42">
        <v>29</v>
      </c>
      <c r="B36" s="42"/>
      <c r="D36" s="47">
        <v>0.9</v>
      </c>
      <c r="E36" s="43">
        <v>0.95</v>
      </c>
      <c r="F36" s="47">
        <v>0.9</v>
      </c>
      <c r="G36" s="43">
        <v>0.95</v>
      </c>
      <c r="H36"/>
      <c r="I36"/>
    </row>
    <row r="37" spans="1:9">
      <c r="A37" s="42">
        <v>30</v>
      </c>
      <c r="B37" s="42"/>
      <c r="D37" s="47">
        <v>0.9</v>
      </c>
      <c r="E37" s="43">
        <v>0.95</v>
      </c>
      <c r="F37" s="47">
        <v>0.9</v>
      </c>
      <c r="G37" s="43">
        <v>0.95</v>
      </c>
      <c r="H37"/>
      <c r="I37"/>
    </row>
    <row r="38" spans="1:9">
      <c r="A38" s="42">
        <v>31</v>
      </c>
      <c r="B38" s="42"/>
      <c r="D38" s="47">
        <v>0.9</v>
      </c>
      <c r="E38" s="43">
        <v>0.95</v>
      </c>
      <c r="F38" s="47">
        <v>0.9</v>
      </c>
      <c r="G38" s="43">
        <v>0.95</v>
      </c>
      <c r="H38"/>
      <c r="I38"/>
    </row>
    <row r="39" spans="1:9">
      <c r="A39" s="42">
        <v>32</v>
      </c>
      <c r="B39" s="42"/>
      <c r="C39" s="44"/>
      <c r="D39" s="47">
        <v>0.9</v>
      </c>
      <c r="E39" s="43">
        <v>0.95</v>
      </c>
      <c r="F39" s="47">
        <v>0.9</v>
      </c>
      <c r="G39" s="43">
        <v>0.95</v>
      </c>
      <c r="H39"/>
      <c r="I39"/>
    </row>
    <row r="40" spans="1:9">
      <c r="A40" s="42">
        <v>33</v>
      </c>
      <c r="B40" s="42"/>
      <c r="D40" s="47">
        <v>0.9</v>
      </c>
      <c r="E40" s="43">
        <v>0.95</v>
      </c>
      <c r="F40" s="47"/>
      <c r="G40" s="43"/>
      <c r="H40" s="47"/>
      <c r="I40" s="43"/>
    </row>
    <row r="41" spans="1:9">
      <c r="A41" s="42">
        <v>34</v>
      </c>
      <c r="B41" s="42"/>
      <c r="D41" s="47">
        <v>0.9</v>
      </c>
      <c r="E41" s="43">
        <v>0.95</v>
      </c>
      <c r="F41" s="47"/>
      <c r="G41" s="43"/>
      <c r="H41" s="47"/>
      <c r="I41" s="43"/>
    </row>
    <row r="42" spans="1:9">
      <c r="A42" s="42">
        <v>35</v>
      </c>
      <c r="B42" s="42"/>
      <c r="D42" s="47">
        <v>0.9</v>
      </c>
      <c r="E42" s="43">
        <v>0.95</v>
      </c>
      <c r="F42" s="47"/>
      <c r="G42" s="43"/>
      <c r="H42" s="47"/>
      <c r="I42" s="43"/>
    </row>
    <row r="43" spans="1:9">
      <c r="A43" s="42">
        <v>36</v>
      </c>
      <c r="B43" s="42"/>
      <c r="D43" s="47">
        <v>0.9</v>
      </c>
      <c r="E43" s="43">
        <v>0.95</v>
      </c>
      <c r="F43" s="47"/>
      <c r="G43" s="43"/>
      <c r="H43" s="47"/>
      <c r="I43" s="43"/>
    </row>
    <row r="44" spans="1:9">
      <c r="A44" s="42">
        <v>37</v>
      </c>
      <c r="B44" s="42"/>
      <c r="D44" s="47">
        <v>0.9</v>
      </c>
      <c r="E44" s="43">
        <v>0.95</v>
      </c>
      <c r="F44" s="47"/>
      <c r="G44" s="43"/>
      <c r="H44" s="47"/>
      <c r="I44" s="43"/>
    </row>
    <row r="45" spans="1:9">
      <c r="A45" s="42">
        <v>38</v>
      </c>
      <c r="B45" s="42"/>
      <c r="D45" s="47">
        <v>0.9</v>
      </c>
      <c r="E45" s="43">
        <v>0.95</v>
      </c>
      <c r="F45" s="47"/>
      <c r="G45" s="43"/>
      <c r="H45" s="47"/>
      <c r="I45" s="43"/>
    </row>
    <row r="46" spans="1:9">
      <c r="A46" s="42">
        <v>39</v>
      </c>
      <c r="B46" s="42"/>
      <c r="D46" s="47">
        <v>0.9</v>
      </c>
      <c r="E46" s="43">
        <v>0.95</v>
      </c>
      <c r="F46" s="47"/>
      <c r="G46" s="43"/>
      <c r="H46" s="47"/>
      <c r="I46" s="43"/>
    </row>
    <row r="47" spans="1:9">
      <c r="A47" s="42">
        <v>40</v>
      </c>
      <c r="B47" s="42"/>
      <c r="D47" s="47">
        <v>0.9</v>
      </c>
      <c r="E47" s="43">
        <v>0.95</v>
      </c>
      <c r="F47" s="47"/>
      <c r="G47" s="43"/>
      <c r="H47" s="47"/>
      <c r="I47" s="43"/>
    </row>
    <row r="48" spans="1:9">
      <c r="A48" s="42">
        <v>41</v>
      </c>
      <c r="B48" s="42"/>
      <c r="C48" s="44"/>
      <c r="D48" s="47">
        <v>0.9</v>
      </c>
      <c r="E48" s="43">
        <v>0.95</v>
      </c>
      <c r="F48" s="47"/>
      <c r="G48" s="43"/>
      <c r="H48" s="47"/>
      <c r="I48" s="43"/>
    </row>
    <row r="49" spans="1:9" ht="20.25" customHeight="1"/>
    <row r="50" spans="1:9" ht="18" customHeight="1">
      <c r="A50" s="37" t="s">
        <v>33</v>
      </c>
      <c r="B50" s="37"/>
      <c r="C50" s="31"/>
      <c r="D50" s="31"/>
      <c r="E50" s="31"/>
      <c r="F50" s="54"/>
      <c r="G50" s="31"/>
    </row>
    <row r="52" spans="1:9">
      <c r="B52" s="14" t="s">
        <v>23</v>
      </c>
      <c r="C52" s="42">
        <v>0.01</v>
      </c>
      <c r="D52" s="106">
        <f>'SA 1way'!F2</f>
        <v>0.01</v>
      </c>
      <c r="E52" s="106">
        <f>D52</f>
        <v>0.01</v>
      </c>
      <c r="F52" s="30">
        <f>$C52</f>
        <v>0.01</v>
      </c>
      <c r="G52" s="30">
        <f>$C52</f>
        <v>0.01</v>
      </c>
      <c r="H52" s="30">
        <f>$C52</f>
        <v>0.01</v>
      </c>
      <c r="I52" s="30">
        <f>$C52</f>
        <v>0.01</v>
      </c>
    </row>
    <row r="53" spans="1:9">
      <c r="B53" s="14" t="s">
        <v>19</v>
      </c>
      <c r="C53" s="51">
        <v>2.5</v>
      </c>
      <c r="D53" s="51">
        <v>2.5</v>
      </c>
      <c r="E53" s="51">
        <v>5</v>
      </c>
      <c r="F53" s="51">
        <v>2.5</v>
      </c>
      <c r="G53" s="51">
        <v>5</v>
      </c>
      <c r="H53" s="51">
        <v>2.5</v>
      </c>
      <c r="I53" s="51">
        <v>5</v>
      </c>
    </row>
    <row r="54" spans="1:9">
      <c r="B54" s="14" t="s">
        <v>21</v>
      </c>
      <c r="C54" s="42">
        <f t="shared" ref="C54:I54" si="2">C52*C53</f>
        <v>2.5000000000000001E-2</v>
      </c>
      <c r="D54" s="42">
        <f t="shared" si="2"/>
        <v>2.5000000000000001E-2</v>
      </c>
      <c r="E54" s="42">
        <f t="shared" si="2"/>
        <v>0.05</v>
      </c>
      <c r="F54" s="42">
        <f t="shared" si="2"/>
        <v>2.5000000000000001E-2</v>
      </c>
      <c r="G54" s="42">
        <f t="shared" si="2"/>
        <v>0.05</v>
      </c>
      <c r="H54" s="42">
        <f t="shared" si="2"/>
        <v>2.5000000000000001E-2</v>
      </c>
      <c r="I54" s="42">
        <f t="shared" si="2"/>
        <v>0.05</v>
      </c>
    </row>
    <row r="55" spans="1:9">
      <c r="B55" s="14" t="s">
        <v>22</v>
      </c>
      <c r="C55" s="42">
        <f t="shared" ref="C55:I55" si="3">0.02*0.5</f>
        <v>0.01</v>
      </c>
      <c r="D55" s="42">
        <f t="shared" si="3"/>
        <v>0.01</v>
      </c>
      <c r="E55" s="42">
        <f t="shared" si="3"/>
        <v>0.01</v>
      </c>
      <c r="F55" s="42">
        <f t="shared" si="3"/>
        <v>0.01</v>
      </c>
      <c r="G55" s="42">
        <f t="shared" si="3"/>
        <v>0.01</v>
      </c>
      <c r="H55" s="42">
        <f t="shared" si="3"/>
        <v>0.01</v>
      </c>
      <c r="I55" s="42">
        <f t="shared" si="3"/>
        <v>0.01</v>
      </c>
    </row>
    <row r="56" spans="1:9">
      <c r="B56" s="14" t="s">
        <v>18</v>
      </c>
      <c r="C56" s="45">
        <f t="shared" ref="C56:I56" si="4">C55*C54</f>
        <v>2.5000000000000001E-4</v>
      </c>
      <c r="D56" s="45">
        <f t="shared" si="4"/>
        <v>2.5000000000000001E-4</v>
      </c>
      <c r="E56" s="45">
        <f t="shared" si="4"/>
        <v>5.0000000000000001E-4</v>
      </c>
      <c r="F56" s="45">
        <f t="shared" si="4"/>
        <v>2.5000000000000001E-4</v>
      </c>
      <c r="G56" s="45">
        <f t="shared" si="4"/>
        <v>5.0000000000000001E-4</v>
      </c>
      <c r="H56" s="45">
        <f t="shared" si="4"/>
        <v>2.5000000000000001E-4</v>
      </c>
      <c r="I56" s="45">
        <f t="shared" si="4"/>
        <v>5.0000000000000001E-4</v>
      </c>
    </row>
    <row r="57" spans="1:9">
      <c r="B57" s="14" t="s">
        <v>20</v>
      </c>
      <c r="C57" s="50">
        <f>C56/(1+$B$3)^2.5</f>
        <v>2.3219183668684445E-4</v>
      </c>
      <c r="D57" s="50">
        <f>D56/(1+$B$3)^2.5</f>
        <v>2.3219183668684445E-4</v>
      </c>
      <c r="E57" s="50">
        <f>E56/(1+$B$3)^5</f>
        <v>4.3130439219208206E-4</v>
      </c>
      <c r="F57" s="50">
        <f>F56/(1+$B$3)^2.5</f>
        <v>2.3219183668684445E-4</v>
      </c>
      <c r="G57" s="50">
        <f>G56/(1+$B$3)^5</f>
        <v>4.3130439219208206E-4</v>
      </c>
      <c r="H57" s="50">
        <f>H56/(1+$B$3)^2.5</f>
        <v>2.3219183668684445E-4</v>
      </c>
      <c r="I57" s="50">
        <f>I56/(1+$B$3)^5</f>
        <v>4.3130439219208206E-4</v>
      </c>
    </row>
    <row r="58" spans="1:9">
      <c r="A58" s="35"/>
      <c r="B58" s="35"/>
    </row>
  </sheetData>
  <mergeCells count="3">
    <mergeCell ref="F4:G4"/>
    <mergeCell ref="D4:E4"/>
    <mergeCell ref="H4:I4"/>
  </mergeCells>
  <phoneticPr fontId="0" type="noConversion"/>
  <printOptions gridLines="1" gridLinesSet="0"/>
  <pageMargins left="0.75" right="0.75" top="1" bottom="1" header="0.5" footer="0.5"/>
  <pageSetup orientation="portrait" horizontalDpi="300" verticalDpi="300"/>
  <headerFooter alignWithMargins="0">
    <oddHeader>&amp;A</oddHeader>
    <oddFooter>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DA- Tree</vt:lpstr>
      <vt:lpstr>DA- Tree (40-49)</vt:lpstr>
      <vt:lpstr>DA- Tree (50-59)</vt:lpstr>
      <vt:lpstr>DA- Tree (60-69)</vt:lpstr>
      <vt:lpstr>Analysis</vt:lpstr>
      <vt:lpstr>SA 2way</vt:lpstr>
      <vt:lpstr>SA 1way</vt:lpstr>
      <vt:lpstr>QALYs by outcome &amp; age</vt:lpstr>
      <vt:lpstr>'DA- Tree'!Print_Area</vt:lpstr>
      <vt:lpstr>'DA- Tree (40-49)'!Print_Area</vt:lpstr>
      <vt:lpstr>'DA- Tree (50-59)'!Print_Area</vt:lpstr>
      <vt:lpstr>'DA- Tree (60-69)'!Print_Area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IHPS</dc:creator>
  <cp:lastModifiedBy>Elliot Marseille</cp:lastModifiedBy>
  <dcterms:created xsi:type="dcterms:W3CDTF">2001-05-06T20:19:47Z</dcterms:created>
  <dcterms:modified xsi:type="dcterms:W3CDTF">2019-01-22T21:33:37Z</dcterms:modified>
</cp:coreProperties>
</file>